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3340" windowHeight="14550" tabRatio="967" activeTab="0"/>
  </bookViews>
  <sheets>
    <sheet name="inputsheet" sheetId="1" r:id="rId1"/>
    <sheet name="solution" sheetId="2" r:id="rId2"/>
    <sheet name="launcherangles" sheetId="3" r:id="rId3"/>
    <sheet name="Sheet1" sheetId="4" r:id="rId4"/>
  </sheets>
  <definedNames>
    <definedName name="dimensions" localSheetId="1">'solution'!$D$1066:$D$1080</definedName>
    <definedName name="g">#REF!</definedName>
    <definedName name="motor_thrust" localSheetId="1">'solution'!$A$8:$F$33</definedName>
  </definedNames>
  <calcPr fullCalcOnLoad="1"/>
</workbook>
</file>

<file path=xl/comments1.xml><?xml version="1.0" encoding="utf-8"?>
<comments xmlns="http://schemas.openxmlformats.org/spreadsheetml/2006/main">
  <authors>
    <author>Armando</author>
    <author>HienTran</author>
    <author>AirBlaze_W</author>
  </authors>
  <commentList>
    <comment ref="F119" authorId="0">
      <text>
        <r>
          <rPr>
            <b/>
            <sz val="9"/>
            <rFont val="Tahoma"/>
            <family val="2"/>
          </rPr>
          <t>Armando:</t>
        </r>
        <r>
          <rPr>
            <sz val="9"/>
            <rFont val="Tahoma"/>
            <family val="2"/>
          </rPr>
          <t xml:space="preserve">
Drag Values are for entire vehicle at take-off</t>
        </r>
      </text>
    </comment>
    <comment ref="C110" authorId="0">
      <text>
        <r>
          <rPr>
            <b/>
            <sz val="9"/>
            <rFont val="Tahoma"/>
            <family val="2"/>
          </rPr>
          <t>Armando:</t>
        </r>
        <r>
          <rPr>
            <sz val="9"/>
            <rFont val="Tahoma"/>
            <family val="2"/>
          </rPr>
          <t xml:space="preserve">
Values are for 1st segment only. If payload is in second section do not include here!!</t>
        </r>
      </text>
    </comment>
    <comment ref="C85" authorId="1">
      <text>
        <r>
          <rPr>
            <b/>
            <sz val="9"/>
            <rFont val="Tahoma"/>
            <family val="2"/>
          </rPr>
          <t>HienTran:</t>
        </r>
        <r>
          <rPr>
            <sz val="9"/>
            <rFont val="Tahoma"/>
            <family val="2"/>
          </rPr>
          <t xml:space="preserve">
Motor Burn time
For launcher, this is total time from Launcher start time to First Stage Powered Flight</t>
        </r>
      </text>
    </comment>
    <comment ref="D118" authorId="1">
      <text>
        <r>
          <rPr>
            <b/>
            <sz val="9"/>
            <rFont val="Tahoma"/>
            <family val="2"/>
          </rPr>
          <t>HienTran:</t>
        </r>
        <r>
          <rPr>
            <sz val="9"/>
            <rFont val="Tahoma"/>
            <family val="2"/>
          </rPr>
          <t xml:space="preserve">
Answer with True/False</t>
        </r>
      </text>
    </comment>
    <comment ref="D258" authorId="1">
      <text>
        <r>
          <rPr>
            <b/>
            <sz val="9"/>
            <rFont val="Tahoma"/>
            <family val="2"/>
          </rPr>
          <t>HienTran:</t>
        </r>
        <r>
          <rPr>
            <sz val="9"/>
            <rFont val="Tahoma"/>
            <family val="2"/>
          </rPr>
          <t xml:space="preserve">
Answer with True/False</t>
        </r>
      </text>
    </comment>
    <comment ref="D397" authorId="1">
      <text>
        <r>
          <rPr>
            <b/>
            <sz val="9"/>
            <rFont val="Tahoma"/>
            <family val="2"/>
          </rPr>
          <t>HienTran:</t>
        </r>
        <r>
          <rPr>
            <sz val="9"/>
            <rFont val="Tahoma"/>
            <family val="2"/>
          </rPr>
          <t xml:space="preserve">
Answer with True/False</t>
        </r>
      </text>
    </comment>
    <comment ref="B544" authorId="1">
      <text>
        <r>
          <rPr>
            <b/>
            <sz val="9"/>
            <rFont val="Tahoma"/>
            <family val="2"/>
          </rPr>
          <t>HienTran:</t>
        </r>
        <r>
          <rPr>
            <sz val="9"/>
            <rFont val="Tahoma"/>
            <family val="2"/>
          </rPr>
          <t xml:space="preserve">
Answer with True/False</t>
        </r>
      </text>
    </comment>
    <comment ref="G17" authorId="1">
      <text>
        <r>
          <rPr>
            <b/>
            <sz val="9"/>
            <rFont val="Tahoma"/>
            <family val="2"/>
          </rPr>
          <t>HienTran:</t>
        </r>
        <r>
          <rPr>
            <sz val="9"/>
            <rFont val="Tahoma"/>
            <family val="2"/>
          </rPr>
          <t xml:space="preserve">
Input at B73</t>
        </r>
      </text>
    </comment>
    <comment ref="B101" authorId="1">
      <text>
        <r>
          <rPr>
            <b/>
            <sz val="9"/>
            <rFont val="Tahoma"/>
            <family val="2"/>
          </rPr>
          <t>HienTran:</t>
        </r>
        <r>
          <rPr>
            <sz val="9"/>
            <rFont val="Tahoma"/>
            <family val="2"/>
          </rPr>
          <t xml:space="preserve">
Input at C93</t>
        </r>
      </text>
    </comment>
    <comment ref="B102" authorId="1">
      <text>
        <r>
          <rPr>
            <b/>
            <sz val="9"/>
            <rFont val="Tahoma"/>
            <family val="2"/>
          </rPr>
          <t>HienTran:</t>
        </r>
        <r>
          <rPr>
            <sz val="9"/>
            <rFont val="Tahoma"/>
            <family val="2"/>
          </rPr>
          <t xml:space="preserve">
Input at C92</t>
        </r>
      </text>
    </comment>
    <comment ref="B107" authorId="1">
      <text>
        <r>
          <rPr>
            <b/>
            <sz val="9"/>
            <rFont val="Tahoma"/>
            <family val="2"/>
          </rPr>
          <t>HienTran:</t>
        </r>
        <r>
          <rPr>
            <sz val="9"/>
            <rFont val="Tahoma"/>
            <family val="2"/>
          </rPr>
          <t xml:space="preserve">
Input at C82</t>
        </r>
      </text>
    </comment>
    <comment ref="G18" authorId="1">
      <text>
        <r>
          <rPr>
            <b/>
            <sz val="9"/>
            <rFont val="Tahoma"/>
            <family val="2"/>
          </rPr>
          <t>HienTran:</t>
        </r>
        <r>
          <rPr>
            <sz val="9"/>
            <rFont val="Tahoma"/>
            <family val="2"/>
          </rPr>
          <t xml:space="preserve">
True
False
none</t>
        </r>
      </text>
    </comment>
    <comment ref="C250" authorId="2">
      <text>
        <r>
          <rPr>
            <b/>
            <sz val="9"/>
            <rFont val="Tahoma"/>
            <family val="2"/>
          </rPr>
          <t>HienTran:</t>
        </r>
        <r>
          <rPr>
            <sz val="9"/>
            <rFont val="Tahoma"/>
            <family val="2"/>
          </rPr>
          <t xml:space="preserve">
Values are for 2st segment only. If payload is in section do not include here!!</t>
        </r>
      </text>
    </comment>
    <comment ref="B118" authorId="1">
      <text>
        <r>
          <rPr>
            <b/>
            <sz val="9"/>
            <rFont val="Tahoma"/>
            <family val="2"/>
          </rPr>
          <t>HienTran:</t>
        </r>
        <r>
          <rPr>
            <sz val="9"/>
            <rFont val="Tahoma"/>
            <family val="2"/>
          </rPr>
          <t xml:space="preserve">
Motor Name:</t>
        </r>
      </text>
    </comment>
    <comment ref="B258" authorId="1">
      <text>
        <r>
          <rPr>
            <b/>
            <sz val="9"/>
            <rFont val="Tahoma"/>
            <family val="2"/>
          </rPr>
          <t>HienTran:</t>
        </r>
        <r>
          <rPr>
            <sz val="9"/>
            <rFont val="Tahoma"/>
            <family val="2"/>
          </rPr>
          <t xml:space="preserve">
Motor Name:</t>
        </r>
      </text>
    </comment>
    <comment ref="B397" authorId="1">
      <text>
        <r>
          <rPr>
            <b/>
            <sz val="9"/>
            <rFont val="Tahoma"/>
            <family val="2"/>
          </rPr>
          <t>HienTran:</t>
        </r>
        <r>
          <rPr>
            <sz val="9"/>
            <rFont val="Tahoma"/>
            <family val="2"/>
          </rPr>
          <t xml:space="preserve">
Motor Name:</t>
        </r>
      </text>
    </comment>
  </commentList>
</comments>
</file>

<file path=xl/comments3.xml><?xml version="1.0" encoding="utf-8"?>
<comments xmlns="http://schemas.openxmlformats.org/spreadsheetml/2006/main">
  <authors>
    <author>Owner</author>
  </authors>
  <commentList>
    <comment ref="S3" authorId="0">
      <text>
        <r>
          <rPr>
            <b/>
            <sz val="8"/>
            <rFont val="Tahoma"/>
            <family val="2"/>
          </rPr>
          <t>Owner:</t>
        </r>
        <r>
          <rPr>
            <sz val="8"/>
            <rFont val="Tahoma"/>
            <family val="2"/>
          </rPr>
          <t xml:space="preserve">
</t>
        </r>
      </text>
    </comment>
  </commentList>
</comments>
</file>

<file path=xl/sharedStrings.xml><?xml version="1.0" encoding="utf-8"?>
<sst xmlns="http://schemas.openxmlformats.org/spreadsheetml/2006/main" count="461" uniqueCount="318">
  <si>
    <t>Parameter</t>
  </si>
  <si>
    <t>Value</t>
  </si>
  <si>
    <t>Units</t>
  </si>
  <si>
    <r>
      <t>ft/s</t>
    </r>
    <r>
      <rPr>
        <vertAlign val="superscript"/>
        <sz val="11"/>
        <color indexed="8"/>
        <rFont val="Calibri"/>
        <family val="2"/>
      </rPr>
      <t>2</t>
    </r>
  </si>
  <si>
    <t>pi</t>
  </si>
  <si>
    <t>ft</t>
  </si>
  <si>
    <t>Specific Gas Constant (R)</t>
  </si>
  <si>
    <r>
      <t>ft lb</t>
    </r>
    <r>
      <rPr>
        <vertAlign val="subscript"/>
        <sz val="11"/>
        <color indexed="8"/>
        <rFont val="Calibri"/>
        <family val="2"/>
      </rPr>
      <t>f</t>
    </r>
    <r>
      <rPr>
        <sz val="11"/>
        <color theme="1"/>
        <rFont val="Calibri"/>
        <family val="2"/>
      </rPr>
      <t xml:space="preserve">/slug </t>
    </r>
    <r>
      <rPr>
        <sz val="11"/>
        <color indexed="8"/>
        <rFont val="Calibri"/>
        <family val="2"/>
      </rPr>
      <t>°</t>
    </r>
    <r>
      <rPr>
        <sz val="11"/>
        <color theme="1"/>
        <rFont val="Calibri"/>
        <family val="2"/>
      </rPr>
      <t>R</t>
    </r>
  </si>
  <si>
    <t>Notes</t>
  </si>
  <si>
    <t>γ</t>
  </si>
  <si>
    <r>
      <t>lb/ft</t>
    </r>
    <r>
      <rPr>
        <vertAlign val="superscript"/>
        <sz val="11"/>
        <color indexed="8"/>
        <rFont val="Calibri"/>
        <family val="2"/>
      </rPr>
      <t>2</t>
    </r>
  </si>
  <si>
    <t>alpha</t>
  </si>
  <si>
    <t>deg/ft</t>
  </si>
  <si>
    <t>Parameters</t>
  </si>
  <si>
    <t>deg</t>
  </si>
  <si>
    <t>Initial Altitude (MSL)</t>
  </si>
  <si>
    <t>Initial Range</t>
  </si>
  <si>
    <t>ft/s</t>
  </si>
  <si>
    <t>Parachute</t>
  </si>
  <si>
    <t>s</t>
  </si>
  <si>
    <t>Geodetic Latitude</t>
  </si>
  <si>
    <t>τ</t>
  </si>
  <si>
    <t>dt</t>
  </si>
  <si>
    <r>
      <t>W</t>
    </r>
    <r>
      <rPr>
        <vertAlign val="subscript"/>
        <sz val="11"/>
        <color indexed="8"/>
        <rFont val="Calibri"/>
        <family val="2"/>
      </rPr>
      <t>p</t>
    </r>
  </si>
  <si>
    <r>
      <t>W</t>
    </r>
    <r>
      <rPr>
        <vertAlign val="subscript"/>
        <sz val="11"/>
        <color indexed="8"/>
        <rFont val="Calibri"/>
        <family val="2"/>
      </rPr>
      <t>PL</t>
    </r>
  </si>
  <si>
    <r>
      <t>W</t>
    </r>
    <r>
      <rPr>
        <vertAlign val="subscript"/>
        <sz val="11"/>
        <color indexed="8"/>
        <rFont val="Calibri"/>
        <family val="2"/>
      </rPr>
      <t>S</t>
    </r>
  </si>
  <si>
    <t>lb</t>
  </si>
  <si>
    <t>From "Finite Inertia Corrections to the Lewis Model Wind Response", C.P. Hoult, Aerospace I.O.C. A79-5434.2-44,1979</t>
  </si>
  <si>
    <t>2 DOF Wind Correction</t>
  </si>
  <si>
    <r>
      <t>D</t>
    </r>
    <r>
      <rPr>
        <u val="single"/>
        <sz val="10"/>
        <rFont val="Arial"/>
        <family val="2"/>
      </rPr>
      <t xml:space="preserve">W / </t>
    </r>
    <r>
      <rPr>
        <u val="single"/>
        <sz val="10"/>
        <rFont val="Symbol"/>
        <family val="1"/>
      </rPr>
      <t>D</t>
    </r>
    <r>
      <rPr>
        <u val="single"/>
        <sz val="10"/>
        <rFont val="Arial"/>
        <family val="2"/>
      </rPr>
      <t>h</t>
    </r>
  </si>
  <si>
    <t>rad/ft</t>
  </si>
  <si>
    <t>rad</t>
  </si>
  <si>
    <t>pi/180</t>
  </si>
  <si>
    <t>Launch site g</t>
  </si>
  <si>
    <t>ft/sec2</t>
  </si>
  <si>
    <t>Earth Equatorial radius</t>
  </si>
  <si>
    <t>Earth Polar radius</t>
  </si>
  <si>
    <t>lambda*alt, rad</t>
  </si>
  <si>
    <r>
      <t xml:space="preserve">d Corr / d </t>
    </r>
    <r>
      <rPr>
        <sz val="10"/>
        <rFont val="Symbol"/>
        <family val="1"/>
      </rPr>
      <t>l</t>
    </r>
    <r>
      <rPr>
        <sz val="10"/>
        <rFont val="Arial"/>
        <family val="2"/>
      </rPr>
      <t>*alt</t>
    </r>
  </si>
  <si>
    <t>Physical and other Constants</t>
  </si>
  <si>
    <t>Atmospheric Constants</t>
  </si>
  <si>
    <t>Sea Level Temperature, deg R</t>
  </si>
  <si>
    <t>Tropopause Altitude, ft</t>
  </si>
  <si>
    <t>Launch Site Temperature, deg F</t>
  </si>
  <si>
    <t>Tropopause Temperature, deg R</t>
  </si>
  <si>
    <r>
      <t>R</t>
    </r>
    <r>
      <rPr>
        <b/>
        <vertAlign val="subscript"/>
        <sz val="11"/>
        <color indexed="8"/>
        <rFont val="Calibri"/>
        <family val="2"/>
      </rPr>
      <t>EP</t>
    </r>
    <r>
      <rPr>
        <b/>
        <sz val="11"/>
        <color indexed="8"/>
        <rFont val="Calibri"/>
        <family val="2"/>
      </rPr>
      <t xml:space="preserve"> (polar)</t>
    </r>
  </si>
  <si>
    <r>
      <t>T</t>
    </r>
    <r>
      <rPr>
        <b/>
        <vertAlign val="subscript"/>
        <sz val="11"/>
        <color indexed="8"/>
        <rFont val="Calibri"/>
        <family val="2"/>
      </rPr>
      <t>P</t>
    </r>
    <r>
      <rPr>
        <b/>
        <sz val="11"/>
        <color indexed="8"/>
        <rFont val="Calibri"/>
        <family val="2"/>
      </rPr>
      <t xml:space="preserve"> (polar)</t>
    </r>
  </si>
  <si>
    <r>
      <t>P</t>
    </r>
    <r>
      <rPr>
        <b/>
        <vertAlign val="subscript"/>
        <sz val="11"/>
        <color indexed="8"/>
        <rFont val="Calibri"/>
        <family val="2"/>
      </rPr>
      <t>SL</t>
    </r>
  </si>
  <si>
    <r>
      <t>Sea Level Mass Density, sl/ft</t>
    </r>
    <r>
      <rPr>
        <b/>
        <vertAlign val="superscript"/>
        <sz val="10"/>
        <rFont val="Arial"/>
        <family val="2"/>
      </rPr>
      <t>3</t>
    </r>
  </si>
  <si>
    <r>
      <t>DT</t>
    </r>
    <r>
      <rPr>
        <b/>
        <vertAlign val="subscript"/>
        <sz val="11"/>
        <color indexed="8"/>
        <rFont val="Calibri"/>
        <family val="2"/>
      </rPr>
      <t>MC</t>
    </r>
  </si>
  <si>
    <r>
      <t>DT</t>
    </r>
    <r>
      <rPr>
        <b/>
        <vertAlign val="subscript"/>
        <sz val="11"/>
        <color indexed="8"/>
        <rFont val="Calibri"/>
        <family val="2"/>
      </rPr>
      <t>DC</t>
    </r>
  </si>
  <si>
    <r>
      <t>D</t>
    </r>
    <r>
      <rPr>
        <b/>
        <vertAlign val="subscript"/>
        <sz val="11"/>
        <color indexed="8"/>
        <rFont val="Calibri"/>
        <family val="2"/>
      </rPr>
      <t>MC</t>
    </r>
  </si>
  <si>
    <r>
      <t>D</t>
    </r>
    <r>
      <rPr>
        <b/>
        <vertAlign val="subscript"/>
        <sz val="11"/>
        <color indexed="8"/>
        <rFont val="Calibri"/>
        <family val="2"/>
      </rPr>
      <t>DC</t>
    </r>
  </si>
  <si>
    <t>Perturbation Corrections</t>
  </si>
  <si>
    <t>Thrust and Drag Data</t>
  </si>
  <si>
    <t>Mach No.</t>
  </si>
  <si>
    <t>Power on Cd</t>
  </si>
  <si>
    <t>Base Press. Coeff.</t>
  </si>
  <si>
    <t>Power off Cd</t>
  </si>
  <si>
    <t>for corresponding stage</t>
  </si>
  <si>
    <t>Phase</t>
  </si>
  <si>
    <t>Initial Weight, lb</t>
  </si>
  <si>
    <t>Initial Mass,sl</t>
  </si>
  <si>
    <t>Final Weight, lb</t>
  </si>
  <si>
    <t>TALO,   sec</t>
  </si>
  <si>
    <t>t</t>
  </si>
  <si>
    <t>Value if stage present</t>
  </si>
  <si>
    <t>Value if Stage present</t>
  </si>
  <si>
    <t>Values if Stage present</t>
  </si>
  <si>
    <t>standard gravity (g)</t>
  </si>
  <si>
    <t>Event/Phase</t>
  </si>
  <si>
    <t>Logic</t>
  </si>
  <si>
    <r>
      <t>t</t>
    </r>
    <r>
      <rPr>
        <vertAlign val="subscript"/>
        <sz val="11"/>
        <color indexed="8"/>
        <rFont val="Calibri"/>
        <family val="2"/>
      </rPr>
      <t>b</t>
    </r>
  </si>
  <si>
    <t xml:space="preserve">tdelay </t>
  </si>
  <si>
    <t>Time+ignition</t>
  </si>
  <si>
    <t>Vertical  Velocity,  ft/sec</t>
  </si>
  <si>
    <t>Range,    ft</t>
  </si>
  <si>
    <t>Distance, ft</t>
  </si>
  <si>
    <t>Sim Wind Speed, ft/sec</t>
  </si>
  <si>
    <t>Vz</t>
  </si>
  <si>
    <t>Alt</t>
  </si>
  <si>
    <t>Vxrel</t>
  </si>
  <si>
    <t>Vx</t>
  </si>
  <si>
    <t>Rng</t>
  </si>
  <si>
    <t>Vrel</t>
  </si>
  <si>
    <t>gamma</t>
  </si>
  <si>
    <t>g's</t>
  </si>
  <si>
    <t>Drag</t>
  </si>
  <si>
    <t>Apogee</t>
  </si>
  <si>
    <t>tapogee</t>
  </si>
  <si>
    <t>Vb1</t>
  </si>
  <si>
    <t>Burnout Velocity Stage 1, ft/s</t>
  </si>
  <si>
    <t>Thrust, lbs</t>
  </si>
  <si>
    <t>Drag, lbs</t>
  </si>
  <si>
    <t>Altvb1</t>
  </si>
  <si>
    <t>gammavb1</t>
  </si>
  <si>
    <t>Burnout Velocity Stage 2, ft/s</t>
  </si>
  <si>
    <t>Vb2</t>
  </si>
  <si>
    <t>Altvb2</t>
  </si>
  <si>
    <t>gammavb2</t>
  </si>
  <si>
    <t>Burnout Velocity Stage 3, ft/s</t>
  </si>
  <si>
    <t>Vb3</t>
  </si>
  <si>
    <t>Altvb3</t>
  </si>
  <si>
    <t>gammavb3</t>
  </si>
  <si>
    <t>Impact Velocity, ft/s</t>
  </si>
  <si>
    <t>Vimpact</t>
  </si>
  <si>
    <t>timpact</t>
  </si>
  <si>
    <t>deg to rad</t>
  </si>
  <si>
    <t>Launch Site Earth radius</t>
  </si>
  <si>
    <t>tdelay</t>
  </si>
  <si>
    <t>from SKYAERO  zero wind</t>
  </si>
  <si>
    <t>from Flt Ops</t>
  </si>
  <si>
    <t>Impact Point Range, ft</t>
  </si>
  <si>
    <t>Range</t>
  </si>
  <si>
    <t>Pdyn</t>
  </si>
  <si>
    <t>Time,s</t>
  </si>
  <si>
    <t>Time+prev. stage t, s</t>
  </si>
  <si>
    <t>Time + prev. stage t,s</t>
  </si>
  <si>
    <t>Pressure</t>
  </si>
  <si>
    <t>Altitude (AGL), ft</t>
  </si>
  <si>
    <t>mass</t>
  </si>
  <si>
    <t>thrust</t>
  </si>
  <si>
    <t>Mach</t>
  </si>
  <si>
    <t>dist</t>
  </si>
  <si>
    <t>3DOF</t>
  </si>
  <si>
    <t>wsim</t>
  </si>
  <si>
    <t>Velocity, ft/sec</t>
  </si>
  <si>
    <r>
      <t>R</t>
    </r>
    <r>
      <rPr>
        <b/>
        <vertAlign val="subscript"/>
        <sz val="11"/>
        <color indexed="8"/>
        <rFont val="Calibri"/>
        <family val="2"/>
      </rPr>
      <t>EE</t>
    </r>
    <r>
      <rPr>
        <b/>
        <sz val="11"/>
        <color indexed="8"/>
        <rFont val="Calibri"/>
        <family val="2"/>
      </rPr>
      <t xml:space="preserve"> (equatorial)</t>
    </r>
  </si>
  <si>
    <r>
      <t>T</t>
    </r>
    <r>
      <rPr>
        <b/>
        <vertAlign val="subscript"/>
        <sz val="11"/>
        <color indexed="8"/>
        <rFont val="Calibri"/>
        <family val="2"/>
      </rPr>
      <t>E</t>
    </r>
    <r>
      <rPr>
        <b/>
        <sz val="11"/>
        <color indexed="8"/>
        <rFont val="Calibri"/>
        <family val="2"/>
      </rPr>
      <t xml:space="preserve"> (equatorial)</t>
    </r>
  </si>
  <si>
    <t>DD</t>
  </si>
  <si>
    <t>Dt1</t>
  </si>
  <si>
    <t>Stage 1 (1st rocket section)</t>
  </si>
  <si>
    <t>Stage 2 (2nd rocket section)</t>
  </si>
  <si>
    <t>Stage 3 (Third rocket section)</t>
  </si>
  <si>
    <t>1=dummy value</t>
  </si>
  <si>
    <t>Sref coast phase</t>
  </si>
  <si>
    <t>Sref power on phase</t>
  </si>
  <si>
    <t>Sref powered phase</t>
  </si>
  <si>
    <t>Sref main chute</t>
  </si>
  <si>
    <t>Cd main chute</t>
  </si>
  <si>
    <t>Sref drogue chute</t>
  </si>
  <si>
    <t>drag coefficient</t>
  </si>
  <si>
    <t>Sref for no ignition w/ chute</t>
  </si>
  <si>
    <t>Cd for no ignition w/ chute</t>
  </si>
  <si>
    <t>reference area drag, ft^2</t>
  </si>
  <si>
    <t>Polar Earth Radius</t>
  </si>
  <si>
    <t>Equatorial Earth Radius</t>
  </si>
  <si>
    <t>Polar Tropopause Altitude</t>
  </si>
  <si>
    <t>Equatorial Tropopause Altitude</t>
  </si>
  <si>
    <t>Gas Consts=ant for Air</t>
  </si>
  <si>
    <t>Pressure @ SL</t>
  </si>
  <si>
    <t>Heat Capacity Ratio (Cp/Cv) for Moist Air</t>
  </si>
  <si>
    <t>Tropopause Temperature Lapse Rate</t>
  </si>
  <si>
    <t>Simulation Launcher Length</t>
  </si>
  <si>
    <t>Pitch / Yaw Wavelength</t>
  </si>
  <si>
    <t>Launch Location Altitude (MSL)</t>
  </si>
  <si>
    <t>Launch Latitude</t>
  </si>
  <si>
    <t>Pitch/Yaw Wavenumber at Launch</t>
  </si>
  <si>
    <t>g at Launch Latitude at MSL</t>
  </si>
  <si>
    <t>From C.P.Hoult,"Launcher Length for Sounding-Rocket Point-Mass Trajectory Simulations", JSR, Vol. 13, No.12, pp 760-761</t>
  </si>
  <si>
    <t>General Integration Time Step</t>
  </si>
  <si>
    <t>Time Step for Drogue Phases</t>
  </si>
  <si>
    <t>Time Step for Main Chute Phase</t>
  </si>
  <si>
    <t>Propellant Weight</t>
  </si>
  <si>
    <t>Structure Weight</t>
  </si>
  <si>
    <t>Motor BurnTime</t>
  </si>
  <si>
    <t>Motor Burn Time</t>
  </si>
  <si>
    <t>Altitude,   ft AGL</t>
  </si>
  <si>
    <t>Vacuum Thrust, lbs</t>
  </si>
  <si>
    <t>Altitude,   ft MSL</t>
  </si>
  <si>
    <t>Coast 1 no Ignition?</t>
  </si>
  <si>
    <t>Mach number</t>
  </si>
  <si>
    <t>Weight, lbs</t>
  </si>
  <si>
    <t>Flight Angle, gamma in degrees</t>
  </si>
  <si>
    <t>Apogee Time, sec</t>
  </si>
  <si>
    <t>Apogee Altitude (MSL), ft</t>
  </si>
  <si>
    <t>Apogee Altitude (AGL), ft</t>
  </si>
  <si>
    <t>Impact Time, sec</t>
  </si>
  <si>
    <t>Burnout Altitude Stage 1, ft</t>
  </si>
  <si>
    <t>Burnout Flightpath Angle at Stage1, deg</t>
  </si>
  <si>
    <t>Burnout Altitude Stage 2, ft</t>
  </si>
  <si>
    <t>Burnout Flightpath Angle at Stage 2, deg</t>
  </si>
  <si>
    <t>Burnout Altitude Stage  3, ft</t>
  </si>
  <si>
    <t>Burnout Flightpath Angle at Stage 3, deg</t>
  </si>
  <si>
    <t xml:space="preserve"> Local Apogee</t>
  </si>
  <si>
    <t xml:space="preserve">  </t>
  </si>
  <si>
    <t>Main Chute Diameter</t>
  </si>
  <si>
    <t>Drogue Chute Diameter</t>
  </si>
  <si>
    <t>Pre-ignition Phase Chute Deployment Time</t>
  </si>
  <si>
    <t>Pre-ignition Phase Drogue Chute Diameter</t>
  </si>
  <si>
    <t>Cd drogue chute</t>
  </si>
  <si>
    <t>Main Chute Deployment Time</t>
  </si>
  <si>
    <t>Drogue Chute Deployment Time</t>
  </si>
  <si>
    <t>Pre-ignition Chute Deployment Time</t>
  </si>
  <si>
    <t>initial Quadrant Elevation Angle (QE)</t>
  </si>
  <si>
    <t>True Wind Speed, ft/sec</t>
  </si>
  <si>
    <t>wtrue</t>
  </si>
  <si>
    <t>Cross-Plane Wind-Induced Impact Displacement, ft</t>
  </si>
  <si>
    <t>From QE = 90º</t>
  </si>
  <si>
    <t>Desired In-Plane Impact Point Component, ft</t>
  </si>
  <si>
    <t>Desired Cross-Plane Impact Point Component, ft</t>
  </si>
  <si>
    <t>Horizontal Velocity,     (rel to wind), ft/sec</t>
  </si>
  <si>
    <t>Horizontal Velocity (LC), ft/sec</t>
  </si>
  <si>
    <t>from SKYAERO  in-plane wind</t>
  </si>
  <si>
    <t>True Launcher Azimuth, deg</t>
  </si>
  <si>
    <t>Tilt Launch Angle, deg</t>
  </si>
  <si>
    <t xml:space="preserve"> </t>
  </si>
  <si>
    <t>Desired Trajectory Azimuth</t>
  </si>
  <si>
    <r>
      <t>Nozzle Exit Area, ft</t>
    </r>
    <r>
      <rPr>
        <vertAlign val="superscript"/>
        <sz val="11"/>
        <color indexed="8"/>
        <rFont val="Calibri"/>
        <family val="2"/>
      </rPr>
      <t>2</t>
    </r>
  </si>
  <si>
    <t>Delay to Fire First Stage Motor</t>
  </si>
  <si>
    <t>3 DOF Wind Correction Factor</t>
  </si>
  <si>
    <r>
      <t>Total Tilt Angle, T</t>
    </r>
    <r>
      <rPr>
        <vertAlign val="subscript"/>
        <sz val="11"/>
        <color indexed="8"/>
        <rFont val="Calibri"/>
        <family val="2"/>
      </rPr>
      <t>T</t>
    </r>
    <r>
      <rPr>
        <sz val="11"/>
        <color indexed="8"/>
        <rFont val="Calibri"/>
        <family val="2"/>
      </rPr>
      <t>, deg</t>
    </r>
  </si>
  <si>
    <t>Total QE, degrees</t>
  </si>
  <si>
    <t>Dynamic Pressure, lb/ft^2</t>
  </si>
  <si>
    <t>Qmax Stage 1, psf</t>
  </si>
  <si>
    <t>Machmax Stage 1</t>
  </si>
  <si>
    <t>Time to Qmax Stage 1, s</t>
  </si>
  <si>
    <t>Time to Machmax Stage 1, s</t>
  </si>
  <si>
    <t>Qmax Stage 2, psf</t>
  </si>
  <si>
    <t>Time to Qmax Stage 2, s</t>
  </si>
  <si>
    <t>Machmax Stage 2</t>
  </si>
  <si>
    <t>Time to Machmax Stage 2, s</t>
  </si>
  <si>
    <t>Qmax Stage 3, psf</t>
  </si>
  <si>
    <t>Time to Qmax Stage 3, s</t>
  </si>
  <si>
    <t>Machmax Stage 3</t>
  </si>
  <si>
    <t>Time to Machmax Stage 3, s</t>
  </si>
  <si>
    <t>Qmax1</t>
  </si>
  <si>
    <t>Qmax2</t>
  </si>
  <si>
    <t>Qmax3</t>
  </si>
  <si>
    <t>t1qmax</t>
  </si>
  <si>
    <t>t2qmax</t>
  </si>
  <si>
    <t>t3qmax</t>
  </si>
  <si>
    <t>Machmax1</t>
  </si>
  <si>
    <t>Machmax2</t>
  </si>
  <si>
    <t>Machmax3</t>
  </si>
  <si>
    <t>t1machmax</t>
  </si>
  <si>
    <t>t2machmax</t>
  </si>
  <si>
    <t>t3machmax</t>
  </si>
  <si>
    <t>Pressure, lb/ft^2</t>
  </si>
  <si>
    <t>Initial Vz</t>
  </si>
  <si>
    <t>Initial Vx</t>
  </si>
  <si>
    <t>Velocity in x-axis at launch</t>
  </si>
  <si>
    <t>Velocity in z-axis at  launch</t>
  </si>
  <si>
    <t>Initial Yaw Wavelength</t>
  </si>
  <si>
    <t>tseparate</t>
  </si>
  <si>
    <t>Launch to 1st Stage Separation</t>
  </si>
  <si>
    <t>Launch to 2nd Stage Separation</t>
  </si>
  <si>
    <t>10 - Third Stage Powered Free Flight</t>
  </si>
  <si>
    <t>11 - Third Stage Coasting Flight</t>
  </si>
  <si>
    <t>12 - Coasting on Drogue Parachute</t>
  </si>
  <si>
    <t>13 - Coasting on Main Parachute</t>
  </si>
  <si>
    <t xml:space="preserve"> 9 - Third Stage Coasting Flight</t>
  </si>
  <si>
    <t xml:space="preserve"> 8 - Second Stage Coasting Flight</t>
  </si>
  <si>
    <t xml:space="preserve"> 7 - Second Stage Powered Free Flight</t>
  </si>
  <si>
    <t xml:space="preserve"> 6 - Second Stage Coasting Flight</t>
  </si>
  <si>
    <t xml:space="preserve"> 5 - First Stage Coasting Flight</t>
  </si>
  <si>
    <t xml:space="preserve"> 3 - First Stage Powered Flight on launcher</t>
  </si>
  <si>
    <t xml:space="preserve"> 1 - First Stage on Coasting Flight</t>
  </si>
  <si>
    <t>This is also the initial flight path angle, positive when the velocity vector points above the horizon.</t>
  </si>
  <si>
    <t>Desired Impact Altitude (MSL)</t>
  </si>
  <si>
    <r>
      <t>TALO</t>
    </r>
    <r>
      <rPr>
        <b/>
        <vertAlign val="subscript"/>
        <sz val="11"/>
        <color indexed="8"/>
        <rFont val="Calibri"/>
        <family val="2"/>
      </rPr>
      <t xml:space="preserve">end, </t>
    </r>
    <r>
      <rPr>
        <b/>
        <sz val="11"/>
        <color indexed="8"/>
        <rFont val="Calibri"/>
        <family val="2"/>
      </rPr>
      <t>sec</t>
    </r>
  </si>
  <si>
    <t>Duration, sec</t>
  </si>
  <si>
    <r>
      <t xml:space="preserve">TALO </t>
    </r>
    <r>
      <rPr>
        <b/>
        <vertAlign val="subscript"/>
        <sz val="11"/>
        <color indexed="8"/>
        <rFont val="Calibri"/>
        <family val="2"/>
      </rPr>
      <t xml:space="preserve">start, </t>
    </r>
    <r>
      <rPr>
        <b/>
        <sz val="11"/>
        <color indexed="8"/>
        <rFont val="Calibri"/>
        <family val="2"/>
      </rPr>
      <t>sec (assume initial time = 0)</t>
    </r>
  </si>
  <si>
    <t>Sequence stage</t>
  </si>
  <si>
    <t xml:space="preserve"> 4 - First Stage Powered (Free) Flight</t>
  </si>
  <si>
    <t>Desired Trajectory Azimuth, deg</t>
  </si>
  <si>
    <t>Pitch/Yaw Wavenumber</t>
  </si>
  <si>
    <t xml:space="preserve"> 2 - 1st Stage Coasting Stabilization Parachute</t>
  </si>
  <si>
    <t>Stage?</t>
  </si>
  <si>
    <t>Event?</t>
  </si>
  <si>
    <t>Stabilization Parachute?</t>
  </si>
  <si>
    <t>Rail Launch Phase?</t>
  </si>
  <si>
    <t>Power Stage 1?</t>
  </si>
  <si>
    <t>Coast Stage 1?</t>
  </si>
  <si>
    <t>Coast Stage 2?</t>
  </si>
  <si>
    <t>Coast Stage 3?</t>
  </si>
  <si>
    <t>Power Stage 2?</t>
  </si>
  <si>
    <t>Power Stage 3?</t>
  </si>
  <si>
    <t>Drogue Chute?</t>
  </si>
  <si>
    <t>Main Chute?</t>
  </si>
  <si>
    <t>Monitor</t>
  </si>
  <si>
    <t>Time, sec</t>
  </si>
  <si>
    <t>Altitude, ft</t>
  </si>
  <si>
    <t>Range, ft</t>
  </si>
  <si>
    <t>Initial and Final Conditions</t>
  </si>
  <si>
    <t>Aero Tech M1939 ThrustCurve.org</t>
  </si>
  <si>
    <t>Sea Level/Vacuum Thrust Input, lbs</t>
  </si>
  <si>
    <t>Is the Input Vacuum Thrust?</t>
  </si>
  <si>
    <t>Phases Weight and Mass Data</t>
  </si>
  <si>
    <t>Delay Time from Stage 1 until Stage 2 Ignition</t>
  </si>
  <si>
    <t>Delay Time from Stage 2 until Stage 3 Ignition</t>
  </si>
  <si>
    <t>Landing Alitude</t>
  </si>
  <si>
    <t>Sea Level/vacuum Thrust, lb</t>
  </si>
  <si>
    <t>Sea Level/Vacuum Thrust, lb</t>
  </si>
  <si>
    <t>Current value</t>
  </si>
  <si>
    <t>Initial</t>
  </si>
  <si>
    <t>Final</t>
  </si>
  <si>
    <t>N/A</t>
  </si>
  <si>
    <t>Accelration in z-axis</t>
  </si>
  <si>
    <t>Press Esc or Break key to stop the simulation then click End button</t>
  </si>
  <si>
    <t>Payload Weight Attached to Stage1</t>
  </si>
  <si>
    <t>Payload Weight Attached to Stage2</t>
  </si>
  <si>
    <t>Payload Weight Attached to Stage3</t>
  </si>
  <si>
    <t>in-plane (TRUE) or cross-wind (FALSE) component, and (none) for no wind</t>
  </si>
  <si>
    <t>Quadrant Elevation Angle.  Not used for first stage after parachute stabilized phase.</t>
  </si>
  <si>
    <t>Physical launcher length.  Not used for first stage after parachute stabilized phase.</t>
  </si>
  <si>
    <t>N-S Wind Speed,fps</t>
  </si>
  <si>
    <t>E-W Wind Speed,fps</t>
  </si>
  <si>
    <t>Plus wind blows away from the launcher</t>
  </si>
  <si>
    <r>
      <t>Tropopause Pressure, lb/ft</t>
    </r>
    <r>
      <rPr>
        <b/>
        <vertAlign val="superscript"/>
        <sz val="10"/>
        <rFont val="Arial"/>
        <family val="2"/>
      </rPr>
      <t>2</t>
    </r>
  </si>
  <si>
    <t>none</t>
  </si>
  <si>
    <r>
      <t>Cross-Plane Wind Compensatory Tilt Angle T</t>
    </r>
    <r>
      <rPr>
        <vertAlign val="subscript"/>
        <sz val="11"/>
        <color indexed="8"/>
        <rFont val="Calibri"/>
        <family val="2"/>
      </rPr>
      <t>C</t>
    </r>
    <r>
      <rPr>
        <sz val="11"/>
        <color indexed="8"/>
        <rFont val="Calibri"/>
        <family val="2"/>
      </rPr>
      <t>, deg</t>
    </r>
  </si>
  <si>
    <r>
      <t>In-Plane Wind Compensatory Tilt Angle T</t>
    </r>
    <r>
      <rPr>
        <vertAlign val="subscript"/>
        <sz val="11"/>
        <color indexed="8"/>
        <rFont val="Calibri"/>
        <family val="2"/>
      </rPr>
      <t>I</t>
    </r>
    <r>
      <rPr>
        <sz val="11"/>
        <color indexed="8"/>
        <rFont val="Calibri"/>
        <family val="2"/>
      </rPr>
      <t>, deg</t>
    </r>
  </si>
  <si>
    <t>Total Vacuum Impulse, lb-sec</t>
  </si>
  <si>
    <t>Vacuum Isp, sec</t>
  </si>
  <si>
    <t>Phases/Events and Durations Input Table</t>
  </si>
  <si>
    <t>Measured Wind data</t>
  </si>
  <si>
    <t>Physical Launcher Length</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</si>
</sst>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61">
    <font>
      <sz val="11"/>
      <color theme="1"/>
      <name val="Calibri"/>
      <family val="2"/>
    </font>
    <font>
      <sz val="11"/>
      <color indexed="8"/>
      <name val="Calibri"/>
      <family val="2"/>
    </font>
    <font>
      <b/>
      <sz val="11"/>
      <color indexed="8"/>
      <name val="Calibri"/>
      <family val="2"/>
    </font>
    <font>
      <vertAlign val="superscript"/>
      <sz val="11"/>
      <color indexed="8"/>
      <name val="Calibri"/>
      <family val="2"/>
    </font>
    <font>
      <vertAlign val="subscript"/>
      <sz val="11"/>
      <color indexed="8"/>
      <name val="Calibri"/>
      <family val="2"/>
    </font>
    <font>
      <sz val="10"/>
      <name val="Arial"/>
      <family val="2"/>
    </font>
    <font>
      <sz val="10"/>
      <color indexed="9"/>
      <name val="Arial"/>
      <family val="2"/>
    </font>
    <font>
      <u val="single"/>
      <sz val="10"/>
      <name val="Arial"/>
      <family val="2"/>
    </font>
    <font>
      <u val="single"/>
      <sz val="10"/>
      <name val="Symbol"/>
      <family val="1"/>
    </font>
    <font>
      <sz val="10"/>
      <name val="Symbol"/>
      <family val="1"/>
    </font>
    <font>
      <b/>
      <vertAlign val="subscript"/>
      <sz val="11"/>
      <color indexed="8"/>
      <name val="Calibri"/>
      <family val="2"/>
    </font>
    <font>
      <b/>
      <vertAlign val="superscript"/>
      <sz val="10"/>
      <name val="Arial"/>
      <family val="2"/>
    </font>
    <font>
      <b/>
      <sz val="8"/>
      <name val="Tahoma"/>
      <family val="2"/>
    </font>
    <font>
      <sz val="8"/>
      <name val="Tahoma"/>
      <family val="2"/>
    </font>
    <font>
      <sz val="9"/>
      <name val="Tahoma"/>
      <family val="2"/>
    </font>
    <font>
      <b/>
      <sz val="9"/>
      <name val="Tahoma"/>
      <family val="2"/>
    </font>
    <font>
      <u val="single"/>
      <sz val="10"/>
      <name val="Times New Roman"/>
      <family val="1"/>
    </font>
    <font>
      <b/>
      <sz val="11"/>
      <color indexed="9"/>
      <name val="Calibri"/>
      <family val="2"/>
    </font>
    <font>
      <b/>
      <sz val="11"/>
      <name val="Calibri"/>
      <family val="2"/>
    </font>
    <font>
      <sz val="11"/>
      <color indexed="9"/>
      <name val="Calibri"/>
      <family val="2"/>
    </font>
    <font>
      <sz val="8"/>
      <name val="Calibri"/>
      <family val="2"/>
    </font>
    <font>
      <sz val="11"/>
      <name val="Calibri"/>
      <family val="2"/>
    </font>
    <font>
      <b/>
      <sz val="10"/>
      <name val="Arial"/>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b/>
      <sz val="11"/>
      <color indexed="8"/>
      <name val="Times New Roman"/>
      <family val="0"/>
    </font>
    <font>
      <b/>
      <sz val="11"/>
      <color indexed="56"/>
      <name val="Times New Roman"/>
      <family val="0"/>
    </font>
    <font>
      <b/>
      <sz val="12"/>
      <color indexed="8"/>
      <name val="Times New Roman"/>
      <family val="0"/>
    </font>
    <font>
      <sz val="14"/>
      <color indexed="8"/>
      <name val="Arial"/>
      <family val="0"/>
    </font>
    <font>
      <b/>
      <sz val="12"/>
      <color indexed="8"/>
      <name val="Cambria"/>
      <family val="0"/>
    </font>
    <font>
      <sz val="11"/>
      <color indexed="8"/>
      <name val="Cambria"/>
      <family val="0"/>
    </font>
    <font>
      <b/>
      <sz val="11"/>
      <color indexed="8"/>
      <name val="Cambria"/>
      <family val="0"/>
    </font>
    <font>
      <sz val="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51"/>
        <bgColor indexed="64"/>
      </patternFill>
    </fill>
    <fill>
      <patternFill patternType="solid">
        <fgColor indexed="9"/>
        <bgColor indexed="64"/>
      </patternFill>
    </fill>
    <fill>
      <patternFill patternType="solid">
        <fgColor indexed="57"/>
        <bgColor indexed="64"/>
      </patternFill>
    </fill>
    <fill>
      <patternFill patternType="solid">
        <fgColor indexed="17"/>
        <bgColor indexed="64"/>
      </patternFill>
    </fill>
    <fill>
      <patternFill patternType="solid">
        <fgColor indexed="45"/>
        <bgColor indexed="64"/>
      </patternFill>
    </fill>
    <fill>
      <patternFill patternType="solid">
        <fgColor indexed="27"/>
        <bgColor indexed="64"/>
      </patternFill>
    </fill>
    <fill>
      <patternFill patternType="solid">
        <fgColor indexed="60"/>
        <bgColor indexed="64"/>
      </patternFill>
    </fill>
    <fill>
      <patternFill patternType="solid">
        <fgColor indexed="10"/>
        <bgColor indexed="64"/>
      </patternFill>
    </fill>
    <fill>
      <patternFill patternType="solid">
        <fgColor indexed="19"/>
        <bgColor indexed="64"/>
      </patternFill>
    </fill>
    <fill>
      <patternFill patternType="solid">
        <fgColor indexed="42"/>
        <bgColor indexed="64"/>
      </patternFill>
    </fill>
    <fill>
      <patternFill patternType="solid">
        <fgColor indexed="6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2"/>
      </left>
      <right style="thin">
        <color indexed="22"/>
      </right>
      <top/>
      <bottom style="thin">
        <color indexed="22"/>
      </bottom>
    </border>
    <border>
      <left style="thin">
        <color indexed="22"/>
      </left>
      <right/>
      <top/>
      <bottom style="thin">
        <color indexed="22"/>
      </bottom>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style="thin"/>
      <top/>
      <bottom style="thin"/>
    </border>
    <border>
      <left/>
      <right style="thin"/>
      <top style="thin"/>
      <bottom style="thin"/>
    </border>
    <border>
      <left/>
      <right style="thin">
        <color indexed="22"/>
      </right>
      <top/>
      <bottom style="thin">
        <color indexed="22"/>
      </bottom>
    </border>
    <border>
      <left style="thin"/>
      <right/>
      <top style="thin"/>
      <bottom/>
    </border>
    <border>
      <left/>
      <right style="thin">
        <color indexed="22"/>
      </right>
      <top style="thin"/>
      <bottom/>
    </border>
    <border>
      <left/>
      <right/>
      <top style="thin"/>
      <bottom/>
    </border>
    <border>
      <left/>
      <right style="thin">
        <color indexed="22"/>
      </right>
      <top/>
      <bottom/>
    </border>
    <border>
      <left style="thin">
        <color indexed="22"/>
      </left>
      <right/>
      <top style="thin"/>
      <bottom style="thin">
        <color indexed="2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1">
    <xf numFmtId="0" fontId="0" fillId="0" borderId="0" xfId="0" applyFont="1" applyAlignment="1">
      <alignment/>
    </xf>
    <xf numFmtId="0" fontId="0" fillId="0" borderId="0" xfId="0" applyFill="1" applyAlignment="1">
      <alignment/>
    </xf>
    <xf numFmtId="0" fontId="0" fillId="33" borderId="10" xfId="0" applyFill="1" applyBorder="1" applyAlignment="1">
      <alignment/>
    </xf>
    <xf numFmtId="0" fontId="0" fillId="0" borderId="0" xfId="0" applyFill="1" applyBorder="1" applyAlignment="1">
      <alignment horizontal="center" vertical="center" wrapText="1"/>
    </xf>
    <xf numFmtId="0" fontId="0" fillId="34" borderId="10" xfId="0" applyFill="1" applyBorder="1" applyAlignment="1">
      <alignment horizontal="center" vertical="center" wrapText="1"/>
    </xf>
    <xf numFmtId="0" fontId="0" fillId="35" borderId="11" xfId="0" applyFill="1" applyBorder="1" applyAlignment="1">
      <alignment horizontal="center" vertical="center" wrapText="1"/>
    </xf>
    <xf numFmtId="0" fontId="0" fillId="35" borderId="12" xfId="0" applyFill="1" applyBorder="1" applyAlignment="1">
      <alignment horizontal="center" vertical="center" wrapText="1"/>
    </xf>
    <xf numFmtId="0" fontId="0" fillId="0" borderId="0" xfId="0" applyFill="1" applyBorder="1" applyAlignment="1">
      <alignment/>
    </xf>
    <xf numFmtId="0" fontId="17" fillId="36" borderId="10" xfId="0" applyFont="1" applyFill="1" applyBorder="1" applyAlignment="1">
      <alignment horizontal="center" vertical="center" wrapText="1"/>
    </xf>
    <xf numFmtId="2" fontId="0" fillId="34" borderId="10" xfId="0" applyNumberFormat="1" applyFill="1" applyBorder="1" applyAlignment="1">
      <alignment horizontal="center" vertical="center" wrapText="1"/>
    </xf>
    <xf numFmtId="0" fontId="17" fillId="36" borderId="10" xfId="0" applyFont="1" applyFill="1" applyBorder="1" applyAlignment="1">
      <alignment horizontal="center" vertical="center"/>
    </xf>
    <xf numFmtId="164" fontId="0" fillId="0" borderId="0" xfId="0" applyNumberFormat="1" applyAlignment="1">
      <alignment/>
    </xf>
    <xf numFmtId="164" fontId="17" fillId="37" borderId="10" xfId="0" applyNumberFormat="1" applyFont="1" applyFill="1" applyBorder="1" applyAlignment="1">
      <alignment/>
    </xf>
    <xf numFmtId="164" fontId="17" fillId="37" borderId="13" xfId="0" applyNumberFormat="1" applyFont="1" applyFill="1" applyBorder="1" applyAlignment="1">
      <alignment/>
    </xf>
    <xf numFmtId="164" fontId="2" fillId="34" borderId="14" xfId="0" applyNumberFormat="1" applyFont="1" applyFill="1" applyBorder="1" applyAlignment="1">
      <alignment/>
    </xf>
    <xf numFmtId="164" fontId="0" fillId="38" borderId="10" xfId="0" applyNumberFormat="1" applyFill="1" applyBorder="1" applyAlignment="1">
      <alignment/>
    </xf>
    <xf numFmtId="164" fontId="2" fillId="34" borderId="10" xfId="0" applyNumberFormat="1" applyFont="1" applyFill="1" applyBorder="1" applyAlignment="1">
      <alignment horizontal="center" vertical="center" wrapText="1"/>
    </xf>
    <xf numFmtId="164" fontId="0" fillId="0" borderId="0" xfId="0" applyNumberFormat="1" applyFill="1" applyAlignment="1">
      <alignment/>
    </xf>
    <xf numFmtId="164" fontId="2" fillId="34" borderId="10" xfId="0" applyNumberFormat="1" applyFont="1" applyFill="1" applyBorder="1" applyAlignment="1">
      <alignment/>
    </xf>
    <xf numFmtId="164" fontId="0" fillId="0" borderId="10" xfId="0" applyNumberFormat="1" applyBorder="1" applyAlignment="1">
      <alignment/>
    </xf>
    <xf numFmtId="164" fontId="0" fillId="39" borderId="10" xfId="0" applyNumberFormat="1" applyFill="1" applyBorder="1" applyAlignment="1">
      <alignment/>
    </xf>
    <xf numFmtId="164" fontId="2" fillId="34" borderId="10" xfId="0" applyNumberFormat="1" applyFont="1" applyFill="1" applyBorder="1" applyAlignment="1">
      <alignment/>
    </xf>
    <xf numFmtId="164" fontId="1" fillId="0" borderId="0" xfId="0" applyNumberFormat="1" applyFont="1" applyAlignment="1">
      <alignment/>
    </xf>
    <xf numFmtId="164" fontId="18" fillId="34" borderId="10" xfId="0" applyNumberFormat="1" applyFont="1" applyFill="1" applyBorder="1" applyAlignment="1">
      <alignment horizontal="center" vertical="center" wrapText="1"/>
    </xf>
    <xf numFmtId="164" fontId="2" fillId="34" borderId="10" xfId="0" applyNumberFormat="1" applyFont="1" applyFill="1" applyBorder="1" applyAlignment="1">
      <alignment wrapText="1"/>
    </xf>
    <xf numFmtId="164" fontId="2" fillId="0" borderId="0" xfId="0" applyNumberFormat="1" applyFont="1" applyAlignment="1">
      <alignment/>
    </xf>
    <xf numFmtId="164" fontId="19" fillId="40" borderId="0" xfId="0" applyNumberFormat="1" applyFont="1" applyFill="1" applyAlignment="1">
      <alignment wrapText="1"/>
    </xf>
    <xf numFmtId="164" fontId="7" fillId="34" borderId="10" xfId="0" applyNumberFormat="1" applyFont="1" applyFill="1" applyBorder="1" applyAlignment="1">
      <alignment horizontal="center" vertical="center" wrapText="1"/>
    </xf>
    <xf numFmtId="164" fontId="5" fillId="34" borderId="10" xfId="0" applyNumberFormat="1" applyFont="1" applyFill="1" applyBorder="1" applyAlignment="1">
      <alignment horizontal="center" vertical="center" wrapText="1"/>
    </xf>
    <xf numFmtId="164" fontId="6" fillId="41" borderId="10" xfId="0" applyNumberFormat="1" applyFont="1" applyFill="1" applyBorder="1" applyAlignment="1">
      <alignment horizontal="center" vertical="center" wrapText="1"/>
    </xf>
    <xf numFmtId="164" fontId="7" fillId="34" borderId="10" xfId="0" applyNumberFormat="1" applyFont="1" applyFill="1" applyBorder="1" applyAlignment="1">
      <alignment horizontal="center" vertical="center"/>
    </xf>
    <xf numFmtId="164" fontId="8" fillId="34" borderId="10" xfId="0" applyNumberFormat="1" applyFont="1" applyFill="1" applyBorder="1" applyAlignment="1">
      <alignment horizontal="center" vertical="center" wrapText="1"/>
    </xf>
    <xf numFmtId="164" fontId="5" fillId="38" borderId="10" xfId="0" applyNumberFormat="1" applyFont="1" applyFill="1" applyBorder="1" applyAlignment="1">
      <alignment horizontal="center" vertical="center" wrapText="1"/>
    </xf>
    <xf numFmtId="164" fontId="0" fillId="33" borderId="14" xfId="0" applyNumberFormat="1" applyFill="1" applyBorder="1" applyAlignment="1">
      <alignment/>
    </xf>
    <xf numFmtId="164" fontId="0" fillId="33" borderId="10" xfId="0" applyNumberFormat="1" applyFill="1" applyBorder="1" applyAlignment="1">
      <alignment/>
    </xf>
    <xf numFmtId="164" fontId="0" fillId="38" borderId="10" xfId="0" applyNumberFormat="1" applyFill="1" applyBorder="1" applyAlignment="1">
      <alignment horizontal="center" vertical="center" wrapText="1"/>
    </xf>
    <xf numFmtId="164" fontId="0" fillId="38" borderId="10" xfId="0" applyNumberFormat="1" applyFill="1" applyBorder="1" applyAlignment="1">
      <alignment horizontal="center"/>
    </xf>
    <xf numFmtId="164" fontId="0" fillId="38" borderId="10" xfId="0" applyNumberFormat="1" applyFill="1" applyBorder="1" applyAlignment="1">
      <alignment horizontal="center" vertical="center"/>
    </xf>
    <xf numFmtId="164" fontId="2" fillId="0" borderId="10" xfId="0" applyNumberFormat="1" applyFont="1" applyBorder="1" applyAlignment="1">
      <alignment horizontal="center"/>
    </xf>
    <xf numFmtId="164" fontId="2" fillId="0" borderId="15" xfId="0" applyNumberFormat="1" applyFont="1" applyFill="1" applyBorder="1" applyAlignment="1">
      <alignment/>
    </xf>
    <xf numFmtId="164" fontId="2" fillId="0" borderId="0" xfId="0" applyNumberFormat="1" applyFont="1" applyFill="1" applyAlignment="1">
      <alignment/>
    </xf>
    <xf numFmtId="164" fontId="0" fillId="0" borderId="0" xfId="0" applyNumberFormat="1" applyFill="1" applyBorder="1" applyAlignment="1">
      <alignment/>
    </xf>
    <xf numFmtId="164" fontId="0" fillId="34" borderId="10" xfId="0" applyNumberFormat="1" applyFill="1" applyBorder="1" applyAlignment="1">
      <alignment/>
    </xf>
    <xf numFmtId="164" fontId="5" fillId="0" borderId="0" xfId="0" applyNumberFormat="1" applyFont="1" applyFill="1" applyBorder="1" applyAlignment="1">
      <alignment horizontal="right"/>
    </xf>
    <xf numFmtId="164" fontId="7" fillId="0" borderId="0" xfId="0" applyNumberFormat="1" applyFont="1" applyFill="1" applyBorder="1" applyAlignment="1">
      <alignment/>
    </xf>
    <xf numFmtId="164" fontId="0" fillId="0" borderId="0" xfId="0" applyNumberFormat="1" applyBorder="1" applyAlignment="1">
      <alignment/>
    </xf>
    <xf numFmtId="164" fontId="8" fillId="0" borderId="0" xfId="0" applyNumberFormat="1" applyFont="1" applyFill="1" applyBorder="1" applyAlignment="1">
      <alignment horizontal="center"/>
    </xf>
    <xf numFmtId="164" fontId="5" fillId="33" borderId="16" xfId="0" applyNumberFormat="1" applyFont="1" applyFill="1" applyBorder="1" applyAlignment="1">
      <alignment horizontal="right"/>
    </xf>
    <xf numFmtId="164" fontId="7" fillId="33" borderId="10" xfId="0" applyNumberFormat="1" applyFont="1" applyFill="1" applyBorder="1" applyAlignment="1">
      <alignment/>
    </xf>
    <xf numFmtId="164" fontId="0" fillId="33" borderId="17" xfId="0" applyNumberFormat="1" applyFill="1" applyBorder="1" applyAlignment="1">
      <alignment/>
    </xf>
    <xf numFmtId="164" fontId="5" fillId="33" borderId="10" xfId="0" applyNumberFormat="1" applyFont="1" applyFill="1" applyBorder="1" applyAlignment="1">
      <alignment/>
    </xf>
    <xf numFmtId="164" fontId="5" fillId="33" borderId="16" xfId="0" applyNumberFormat="1" applyFont="1" applyFill="1" applyBorder="1" applyAlignment="1">
      <alignment horizontal="right"/>
    </xf>
    <xf numFmtId="164" fontId="2" fillId="0" borderId="10" xfId="0" applyNumberFormat="1" applyFont="1" applyFill="1" applyBorder="1" applyAlignment="1">
      <alignment/>
    </xf>
    <xf numFmtId="164" fontId="0" fillId="0" borderId="0" xfId="0" applyNumberFormat="1" applyAlignment="1">
      <alignment/>
    </xf>
    <xf numFmtId="2" fontId="0" fillId="39" borderId="10" xfId="0" applyNumberFormat="1" applyFill="1" applyBorder="1" applyAlignment="1">
      <alignment/>
    </xf>
    <xf numFmtId="164" fontId="16" fillId="0" borderId="0" xfId="0" applyNumberFormat="1" applyFont="1" applyFill="1" applyBorder="1" applyAlignment="1">
      <alignment horizontal="center"/>
    </xf>
    <xf numFmtId="164" fontId="0" fillId="0" borderId="10" xfId="0" applyNumberFormat="1" applyBorder="1" applyAlignment="1">
      <alignment vertical="center" wrapText="1"/>
    </xf>
    <xf numFmtId="164" fontId="0" fillId="34" borderId="18" xfId="0" applyNumberFormat="1" applyFill="1" applyBorder="1" applyAlignment="1">
      <alignment/>
    </xf>
    <xf numFmtId="164" fontId="0" fillId="33" borderId="18" xfId="0" applyNumberFormat="1" applyFill="1" applyBorder="1" applyAlignment="1">
      <alignment/>
    </xf>
    <xf numFmtId="164" fontId="0" fillId="34" borderId="10" xfId="0" applyNumberFormat="1" applyFill="1" applyBorder="1" applyAlignment="1">
      <alignment horizontal="center"/>
    </xf>
    <xf numFmtId="164" fontId="0" fillId="39" borderId="18" xfId="0" applyNumberFormat="1" applyFill="1" applyBorder="1" applyAlignment="1">
      <alignment/>
    </xf>
    <xf numFmtId="2" fontId="19" fillId="36" borderId="10" xfId="0" applyNumberFormat="1" applyFont="1" applyFill="1" applyBorder="1" applyAlignment="1">
      <alignment horizontal="center" vertical="center" wrapText="1"/>
    </xf>
    <xf numFmtId="0" fontId="0" fillId="35" borderId="19" xfId="0" applyFill="1" applyBorder="1" applyAlignment="1">
      <alignment horizontal="center" vertical="center" wrapText="1"/>
    </xf>
    <xf numFmtId="0" fontId="17" fillId="42" borderId="10" xfId="0" applyFont="1" applyFill="1" applyBorder="1" applyAlignment="1">
      <alignment horizontal="center" vertical="center" wrapText="1"/>
    </xf>
    <xf numFmtId="0" fontId="17" fillId="42" borderId="10" xfId="0" applyFont="1" applyFill="1" applyBorder="1" applyAlignment="1">
      <alignment horizontal="center" vertical="center"/>
    </xf>
    <xf numFmtId="164" fontId="0" fillId="35" borderId="10" xfId="0" applyNumberFormat="1" applyFill="1" applyBorder="1" applyAlignment="1">
      <alignment/>
    </xf>
    <xf numFmtId="164" fontId="2" fillId="0" borderId="0" xfId="0" applyNumberFormat="1" applyFont="1" applyAlignment="1">
      <alignment/>
    </xf>
    <xf numFmtId="0" fontId="0" fillId="0" borderId="0" xfId="0" applyNumberFormat="1" applyAlignment="1">
      <alignment/>
    </xf>
    <xf numFmtId="0" fontId="0" fillId="0" borderId="10" xfId="0" applyFill="1" applyBorder="1" applyAlignment="1">
      <alignment/>
    </xf>
    <xf numFmtId="2" fontId="0" fillId="33" borderId="10" xfId="0" applyNumberFormat="1" applyFill="1" applyBorder="1" applyAlignment="1">
      <alignment/>
    </xf>
    <xf numFmtId="0" fontId="0" fillId="33" borderId="14" xfId="0" applyFill="1" applyBorder="1" applyAlignment="1">
      <alignment/>
    </xf>
    <xf numFmtId="0" fontId="0" fillId="34" borderId="18" xfId="0" applyFill="1" applyBorder="1" applyAlignment="1">
      <alignment horizontal="center" vertical="center" wrapText="1"/>
    </xf>
    <xf numFmtId="164" fontId="2" fillId="35" borderId="0" xfId="0" applyNumberFormat="1" applyFont="1" applyFill="1" applyBorder="1" applyAlignment="1">
      <alignment vertical="center"/>
    </xf>
    <xf numFmtId="0" fontId="19" fillId="37" borderId="10" xfId="0" applyFont="1" applyFill="1" applyBorder="1" applyAlignment="1">
      <alignment horizontal="center" vertical="center" wrapText="1"/>
    </xf>
    <xf numFmtId="0" fontId="19" fillId="37" borderId="13" xfId="0" applyFont="1" applyFill="1" applyBorder="1" applyAlignment="1">
      <alignment horizontal="center" vertical="center" wrapText="1"/>
    </xf>
    <xf numFmtId="0" fontId="0" fillId="34" borderId="10" xfId="0" applyNumberFormat="1" applyFill="1" applyBorder="1" applyAlignment="1">
      <alignment horizontal="center" vertical="center" wrapText="1"/>
    </xf>
    <xf numFmtId="0" fontId="17" fillId="36" borderId="10" xfId="0" applyNumberFormat="1" applyFont="1" applyFill="1" applyBorder="1" applyAlignment="1">
      <alignment horizontal="center" vertical="center"/>
    </xf>
    <xf numFmtId="0" fontId="17" fillId="42" borderId="10" xfId="0" applyNumberFormat="1" applyFont="1" applyFill="1" applyBorder="1" applyAlignment="1">
      <alignment horizontal="center"/>
    </xf>
    <xf numFmtId="164" fontId="2" fillId="34" borderId="10" xfId="0" applyNumberFormat="1" applyFont="1" applyFill="1" applyBorder="1" applyAlignment="1">
      <alignment/>
    </xf>
    <xf numFmtId="164" fontId="0" fillId="0" borderId="10" xfId="0" applyNumberFormat="1" applyFill="1" applyBorder="1" applyAlignment="1">
      <alignment/>
    </xf>
    <xf numFmtId="164" fontId="2" fillId="0" borderId="10" xfId="0" applyNumberFormat="1" applyFont="1" applyBorder="1" applyAlignment="1">
      <alignment horizontal="center"/>
    </xf>
    <xf numFmtId="164" fontId="21" fillId="0" borderId="0" xfId="0" applyNumberFormat="1" applyFont="1" applyAlignment="1">
      <alignment/>
    </xf>
    <xf numFmtId="164" fontId="0" fillId="35" borderId="10" xfId="0" applyNumberFormat="1" applyFill="1" applyBorder="1" applyAlignment="1">
      <alignment horizontal="right"/>
    </xf>
    <xf numFmtId="164" fontId="0" fillId="0" borderId="10" xfId="0" applyNumberFormat="1" applyFill="1" applyBorder="1" applyAlignment="1">
      <alignment horizontal="center"/>
    </xf>
    <xf numFmtId="164" fontId="21" fillId="0" borderId="0" xfId="0" applyNumberFormat="1" applyFont="1" applyFill="1" applyAlignment="1">
      <alignment/>
    </xf>
    <xf numFmtId="164" fontId="18" fillId="0" borderId="10" xfId="0" applyNumberFormat="1" applyFont="1" applyFill="1" applyBorder="1" applyAlignment="1">
      <alignment horizontal="center"/>
    </xf>
    <xf numFmtId="164" fontId="21" fillId="0" borderId="10" xfId="0" applyNumberFormat="1" applyFont="1" applyFill="1" applyBorder="1" applyAlignment="1">
      <alignment horizontal="center"/>
    </xf>
    <xf numFmtId="2" fontId="19" fillId="0" borderId="20" xfId="0" applyNumberFormat="1" applyFont="1" applyFill="1" applyBorder="1" applyAlignment="1">
      <alignment horizontal="center" vertical="center" wrapText="1"/>
    </xf>
    <xf numFmtId="0" fontId="0" fillId="0" borderId="21" xfId="0" applyBorder="1" applyAlignment="1">
      <alignment/>
    </xf>
    <xf numFmtId="2" fontId="19" fillId="0" borderId="22" xfId="0" applyNumberFormat="1" applyFont="1" applyFill="1" applyBorder="1" applyAlignment="1">
      <alignment horizontal="center" vertical="center" wrapText="1"/>
    </xf>
    <xf numFmtId="0" fontId="0" fillId="0" borderId="23" xfId="0" applyBorder="1" applyAlignment="1">
      <alignment/>
    </xf>
    <xf numFmtId="164" fontId="5" fillId="33" borderId="10" xfId="0" applyNumberFormat="1" applyFont="1" applyFill="1" applyBorder="1" applyAlignment="1">
      <alignment horizontal="center" vertical="center"/>
    </xf>
    <xf numFmtId="164" fontId="2" fillId="34" borderId="10" xfId="0" applyNumberFormat="1" applyFont="1" applyFill="1" applyBorder="1" applyAlignment="1">
      <alignment horizontal="center"/>
    </xf>
    <xf numFmtId="164" fontId="5" fillId="33" borderId="10" xfId="0" applyNumberFormat="1" applyFont="1" applyFill="1" applyBorder="1" applyAlignment="1">
      <alignment horizontal="center"/>
    </xf>
    <xf numFmtId="164" fontId="18" fillId="34" borderId="10" xfId="0" applyNumberFormat="1" applyFont="1" applyFill="1" applyBorder="1" applyAlignment="1">
      <alignment/>
    </xf>
    <xf numFmtId="164" fontId="0" fillId="43" borderId="10" xfId="0" applyNumberFormat="1" applyFill="1" applyBorder="1" applyAlignment="1">
      <alignment/>
    </xf>
    <xf numFmtId="164" fontId="0" fillId="39" borderId="10" xfId="0" applyNumberFormat="1" applyFill="1" applyBorder="1" applyAlignment="1">
      <alignment horizontal="right"/>
    </xf>
    <xf numFmtId="164" fontId="0" fillId="0" borderId="0" xfId="0" applyNumberFormat="1" applyAlignment="1">
      <alignment vertical="center" wrapText="1"/>
    </xf>
    <xf numFmtId="0" fontId="0" fillId="35" borderId="24" xfId="0" applyFill="1" applyBorder="1" applyAlignment="1">
      <alignment horizontal="center" vertical="center" wrapText="1"/>
    </xf>
    <xf numFmtId="0" fontId="0" fillId="34" borderId="13" xfId="0" applyFill="1" applyBorder="1" applyAlignment="1">
      <alignment horizontal="center" vertical="center" wrapText="1"/>
    </xf>
    <xf numFmtId="0" fontId="0" fillId="35" borderId="20" xfId="0" applyFill="1" applyBorder="1" applyAlignment="1">
      <alignment horizontal="center" vertical="center" wrapText="1"/>
    </xf>
    <xf numFmtId="0" fontId="0" fillId="0" borderId="22" xfId="0" applyBorder="1" applyAlignment="1">
      <alignment/>
    </xf>
    <xf numFmtId="164" fontId="2" fillId="34" borderId="10" xfId="0" applyNumberFormat="1" applyFont="1" applyFill="1" applyBorder="1" applyAlignment="1">
      <alignment horizontal="center" vertical="center" wrapText="1"/>
    </xf>
    <xf numFmtId="164" fontId="22" fillId="33" borderId="10" xfId="0" applyNumberFormat="1" applyFont="1" applyFill="1" applyBorder="1" applyAlignment="1">
      <alignment horizontal="left"/>
    </xf>
    <xf numFmtId="164" fontId="59" fillId="0" borderId="0" xfId="0" applyNumberFormat="1" applyFont="1" applyAlignment="1">
      <alignment/>
    </xf>
    <xf numFmtId="164" fontId="1" fillId="0" borderId="0" xfId="0" applyNumberFormat="1" applyFont="1" applyAlignment="1">
      <alignment/>
    </xf>
    <xf numFmtId="164" fontId="19" fillId="44" borderId="0" xfId="0" applyNumberFormat="1" applyFont="1" applyFill="1" applyAlignment="1">
      <alignment horizontal="center" vertical="center" wrapText="1"/>
    </xf>
    <xf numFmtId="164" fontId="0" fillId="0" borderId="0" xfId="0" applyNumberFormat="1" applyAlignment="1">
      <alignment horizontal="center"/>
    </xf>
    <xf numFmtId="164" fontId="2" fillId="0" borderId="0" xfId="0" applyNumberFormat="1" applyFont="1" applyAlignment="1">
      <alignment horizontal="center"/>
    </xf>
    <xf numFmtId="164" fontId="2" fillId="0" borderId="0" xfId="0" applyNumberFormat="1" applyFont="1" applyAlignment="1">
      <alignment horizontal="center"/>
    </xf>
    <xf numFmtId="0" fontId="2"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8">
    <dxf>
      <font>
        <b/>
        <i val="0"/>
        <color indexed="9"/>
      </font>
      <fill>
        <patternFill>
          <bgColor indexed="17"/>
        </patternFill>
      </fill>
    </dxf>
    <dxf>
      <font>
        <b/>
        <i val="0"/>
      </font>
      <fill>
        <patternFill>
          <bgColor indexed="1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b/>
        <i val="0"/>
      </font>
      <fill>
        <patternFill>
          <bgColor rgb="FFFF0000"/>
        </patternFill>
      </fill>
      <border/>
    </dxf>
    <dxf>
      <font>
        <b/>
        <i val="0"/>
        <color rgb="FFFFFFFF"/>
      </font>
      <fill>
        <patternFill>
          <bgColor rgb="FF008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14</xdr:row>
      <xdr:rowOff>381000</xdr:rowOff>
    </xdr:from>
    <xdr:to>
      <xdr:col>10</xdr:col>
      <xdr:colOff>847725</xdr:colOff>
      <xdr:row>18</xdr:row>
      <xdr:rowOff>171450</xdr:rowOff>
    </xdr:to>
    <xdr:sp>
      <xdr:nvSpPr>
        <xdr:cNvPr id="1" name="TextBox 1"/>
        <xdr:cNvSpPr txBox="1">
          <a:spLocks noChangeArrowheads="1"/>
        </xdr:cNvSpPr>
      </xdr:nvSpPr>
      <xdr:spPr>
        <a:xfrm>
          <a:off x="16516350" y="5114925"/>
          <a:ext cx="5743575" cy="2009775"/>
        </a:xfrm>
        <a:prstGeom prst="rect">
          <a:avLst/>
        </a:prstGeom>
        <a:solidFill>
          <a:srgbClr val="BFBFBF"/>
        </a:solidFill>
        <a:ln w="9525" cmpd="sng">
          <a:solidFill>
            <a:srgbClr val="BCBCBC"/>
          </a:solidFill>
          <a:headEnd type="none"/>
          <a:tailEnd type="none"/>
        </a:ln>
      </xdr:spPr>
      <xdr:txBody>
        <a:bodyPr vertOverflow="clip" wrap="square" lIns="27432" tIns="22860" rIns="0" bIns="0"/>
        <a:p>
          <a:pPr algn="l">
            <a:defRPr/>
          </a:pPr>
          <a:r>
            <a:rPr lang="en-US" cap="none" sz="1100" b="1" i="0" u="none" baseline="0">
              <a:solidFill>
                <a:srgbClr val="000000"/>
              </a:solidFill>
              <a:latin typeface="Times New Roman"/>
              <a:ea typeface="Times New Roman"/>
              <a:cs typeface="Times New Roman"/>
            </a:rPr>
            <a:t>If the user does not wish to makle a simulation run with winds, input none in cell G14, input TRUE if the simulation run uses the In-Plane wind profile and FALSE if the cross plane wind profile is used.
</a:t>
          </a:r>
          <a:r>
            <a:rPr lang="en-US" cap="none" sz="1100" b="1" i="0" u="none" baseline="0">
              <a:solidFill>
                <a:srgbClr val="000000"/>
              </a:solidFill>
              <a:latin typeface="Times New Roman"/>
              <a:ea typeface="Times New Roman"/>
              <a:cs typeface="Times New Roman"/>
            </a:rPr>
            <a:t>User</a:t>
          </a:r>
          <a:r>
            <a:rPr lang="en-US" cap="none" sz="1100" b="1" i="0" u="none" baseline="0">
              <a:solidFill>
                <a:srgbClr val="000000"/>
              </a:solidFill>
              <a:latin typeface="Times New Roman"/>
              <a:ea typeface="Times New Roman"/>
              <a:cs typeface="Times New Roman"/>
            </a:rPr>
            <a:t> inputs the measured wind data points at cells M21:N62. Keep column M cells empty (blank) above the cell with the highest measured wind. Also do not skip a cell when inputing or the program will think there is no more data.</a:t>
          </a:r>
          <a:r>
            <a:rPr lang="en-US" cap="none" sz="1100" b="1"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r>
            <a:rPr lang="en-US" cap="none" sz="1100" b="1" i="0" u="none" baseline="0">
              <a:solidFill>
                <a:srgbClr val="003366"/>
              </a:solidFill>
              <a:latin typeface="Times New Roman"/>
              <a:ea typeface="Times New Roman"/>
              <a:cs typeface="Times New Roman"/>
            </a:rPr>
            <a:t>Note: For all tables in this program, it is not necessary to fill in every blue-colored cell. It is enough to simply enter all the data available. Just make sure the data entered covers all the expected ranges.  If code looks for data at Mach = 2 and the data input only covers up to 1.5, then Excel will return a run time error.</a:t>
          </a:r>
        </a:p>
      </xdr:txBody>
    </xdr:sp>
    <xdr:clientData/>
  </xdr:twoCellAnchor>
  <xdr:twoCellAnchor>
    <xdr:from>
      <xdr:col>6</xdr:col>
      <xdr:colOff>247650</xdr:colOff>
      <xdr:row>73</xdr:row>
      <xdr:rowOff>95250</xdr:rowOff>
    </xdr:from>
    <xdr:to>
      <xdr:col>9</xdr:col>
      <xdr:colOff>685800</xdr:colOff>
      <xdr:row>88</xdr:row>
      <xdr:rowOff>9525</xdr:rowOff>
    </xdr:to>
    <xdr:sp>
      <xdr:nvSpPr>
        <xdr:cNvPr id="2" name="TextBox 2"/>
        <xdr:cNvSpPr txBox="1">
          <a:spLocks noChangeArrowheads="1"/>
        </xdr:cNvSpPr>
      </xdr:nvSpPr>
      <xdr:spPr>
        <a:xfrm>
          <a:off x="15020925" y="18421350"/>
          <a:ext cx="5676900" cy="2809875"/>
        </a:xfrm>
        <a:prstGeom prst="rect">
          <a:avLst/>
        </a:prstGeom>
        <a:solidFill>
          <a:srgbClr val="BFBFBF"/>
        </a:solidFill>
        <a:ln w="9525" cmpd="sng">
          <a:solidFill>
            <a:srgbClr val="BCBCBC"/>
          </a:solidFill>
          <a:headEnd type="none"/>
          <a:tailEnd type="none"/>
        </a:ln>
      </xdr:spPr>
      <xdr:txBody>
        <a:bodyPr vertOverflow="clip" wrap="square" lIns="27432" tIns="22860" rIns="0" bIns="0"/>
        <a:p>
          <a:pPr algn="l">
            <a:defRPr/>
          </a:pPr>
          <a:r>
            <a:rPr lang="en-US" cap="none" sz="1100" b="1" i="0" u="none" baseline="0">
              <a:solidFill>
                <a:srgbClr val="000000"/>
              </a:solidFill>
              <a:latin typeface="Times New Roman"/>
              <a:ea typeface="Times New Roman"/>
              <a:cs typeface="Times New Roman"/>
            </a:rPr>
            <a:t>- The input table to the left controls the number of stages the trajectory will simulate. There is a maximum of 3 stages allowed.
</a:t>
          </a:r>
          <a:r>
            <a:rPr lang="en-US" cap="none" sz="1100" b="1" i="0" u="none" baseline="0">
              <a:solidFill>
                <a:srgbClr val="000000"/>
              </a:solidFill>
              <a:latin typeface="Times New Roman"/>
              <a:ea typeface="Times New Roman"/>
              <a:cs typeface="Times New Roman"/>
            </a:rPr>
            <a:t>- The first stage can either be a rocket launched from a launch rail, or by assuming it is dropped off from an aircraft . 
</a:t>
          </a:r>
          <a:r>
            <a:rPr lang="en-US" cap="none" sz="1100" b="1" i="0" u="none" baseline="0">
              <a:solidFill>
                <a:srgbClr val="000000"/>
              </a:solidFill>
              <a:latin typeface="Times New Roman"/>
              <a:ea typeface="Times New Roman"/>
              <a:cs typeface="Times New Roman"/>
            </a:rPr>
            <a:t>- If the launcher rail option is used simply type "TRUE" in cell "b84". If aircraft drop option is desired then type "TRUE" in cell "b82". Otherwise, the option not selected must read "FALSE." Cell "b85:b86" must always read TRUE if rocket has a 1 stage, regardless of initial launch option.
</a:t>
          </a:r>
          <a:r>
            <a:rPr lang="en-US" cap="none" sz="1100" b="1" i="0" u="none" baseline="0">
              <a:solidFill>
                <a:srgbClr val="000000"/>
              </a:solidFill>
              <a:latin typeface="Times New Roman"/>
              <a:ea typeface="Times New Roman"/>
              <a:cs typeface="Times New Roman"/>
            </a:rPr>
            <a:t>- For every phase desired, both options must read "TRUE", even if coasting phase will be 0 seconds due to immediate firing by the next stage. 
</a:t>
          </a:r>
          <a:r>
            <a:rPr lang="en-US" cap="none" sz="1100" b="1" i="0" u="none" baseline="0">
              <a:solidFill>
                <a:srgbClr val="000000"/>
              </a:solidFill>
              <a:latin typeface="Times New Roman"/>
              <a:ea typeface="Times New Roman"/>
              <a:cs typeface="Times New Roman"/>
            </a:rPr>
            <a:t>- If rocket has a drogue chute and main chute, cells "b93"b94" must read TRUE. Otherwise type TRUE only for the type of parachute that will be present.
</a:t>
          </a:r>
          <a:r>
            <a:rPr lang="en-US" cap="none" sz="1100" b="1" i="0" u="none" baseline="0">
              <a:solidFill>
                <a:srgbClr val="000000"/>
              </a:solidFill>
              <a:latin typeface="Times New Roman"/>
              <a:ea typeface="Times New Roman"/>
              <a:cs typeface="Times New Roman"/>
            </a:rPr>
            <a:t>- The final phase that will be terminated by impact on the ground should have an phase duration of 9999.0 seconds.  Actual impact will, of course, occur much earlier, but this ensures that the simulation run does not stop itsself prior to impact. </a:t>
          </a:r>
        </a:p>
      </xdr:txBody>
    </xdr:sp>
    <xdr:clientData/>
  </xdr:twoCellAnchor>
  <xdr:twoCellAnchor>
    <xdr:from>
      <xdr:col>7</xdr:col>
      <xdr:colOff>38100</xdr:colOff>
      <xdr:row>99</xdr:row>
      <xdr:rowOff>66675</xdr:rowOff>
    </xdr:from>
    <xdr:to>
      <xdr:col>11</xdr:col>
      <xdr:colOff>9525</xdr:colOff>
      <xdr:row>103</xdr:row>
      <xdr:rowOff>200025</xdr:rowOff>
    </xdr:to>
    <xdr:sp>
      <xdr:nvSpPr>
        <xdr:cNvPr id="3" name="TextBox 3"/>
        <xdr:cNvSpPr txBox="1">
          <a:spLocks noChangeArrowheads="1"/>
        </xdr:cNvSpPr>
      </xdr:nvSpPr>
      <xdr:spPr>
        <a:xfrm>
          <a:off x="16449675" y="23364825"/>
          <a:ext cx="6019800" cy="971550"/>
        </a:xfrm>
        <a:prstGeom prst="rect">
          <a:avLst/>
        </a:prstGeom>
        <a:solidFill>
          <a:srgbClr val="BFBFB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Times New Roman"/>
              <a:ea typeface="Times New Roman"/>
              <a:cs typeface="Times New Roman"/>
            </a:rPr>
            <a:t>Cells " a101:f107"  require inputs of the parachutes used. This includes the parachute used when the aircraft drop is desired.</a:t>
          </a:r>
          <a:r>
            <a:rPr lang="en-US" cap="none" sz="1100" b="1" i="0" u="none" baseline="0">
              <a:solidFill>
                <a:srgbClr val="000000"/>
              </a:solidFill>
              <a:latin typeface="Times New Roman"/>
              <a:ea typeface="Times New Roman"/>
              <a:cs typeface="Times New Roman"/>
            </a:rPr>
            <a:t> It is assumed that rocket is dropped and at some time a drogue chute deploys prior to motor firing. Values to be input are the diameters, deployment times, drag coefficients and reference areas for the drag calculation. Cell "b103" is the time that it takes for the prachutes to become fully deployed. </a:t>
          </a:r>
        </a:p>
      </xdr:txBody>
    </xdr:sp>
    <xdr:clientData/>
  </xdr:twoCellAnchor>
  <xdr:twoCellAnchor>
    <xdr:from>
      <xdr:col>6</xdr:col>
      <xdr:colOff>114300</xdr:colOff>
      <xdr:row>89</xdr:row>
      <xdr:rowOff>9525</xdr:rowOff>
    </xdr:from>
    <xdr:to>
      <xdr:col>12</xdr:col>
      <xdr:colOff>619125</xdr:colOff>
      <xdr:row>98</xdr:row>
      <xdr:rowOff>57150</xdr:rowOff>
    </xdr:to>
    <xdr:sp>
      <xdr:nvSpPr>
        <xdr:cNvPr id="4" name="TextBox 4"/>
        <xdr:cNvSpPr txBox="1">
          <a:spLocks noChangeArrowheads="1"/>
        </xdr:cNvSpPr>
      </xdr:nvSpPr>
      <xdr:spPr>
        <a:xfrm>
          <a:off x="14887575" y="21421725"/>
          <a:ext cx="9267825" cy="1743075"/>
        </a:xfrm>
        <a:prstGeom prst="rect">
          <a:avLst/>
        </a:prstGeom>
        <a:solidFill>
          <a:srgbClr val="BFBFB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Times New Roman"/>
              <a:ea typeface="Times New Roman"/>
              <a:cs typeface="Times New Roman"/>
            </a:rPr>
            <a:t>In the following</a:t>
          </a:r>
          <a:r>
            <a:rPr lang="en-US" cap="none" sz="1100" b="1" i="0" u="none" baseline="0">
              <a:solidFill>
                <a:srgbClr val="000000"/>
              </a:solidFill>
              <a:latin typeface="Times New Roman"/>
              <a:ea typeface="Times New Roman"/>
              <a:cs typeface="Times New Roman"/>
            </a:rPr>
            <a:t> tables, mass, thrust, and drag coefficients will be input for all stages simulated. 
</a:t>
          </a:r>
          <a:r>
            <a:rPr lang="en-US" cap="none" sz="1100" b="1" i="0" u="none" baseline="0">
              <a:solidFill>
                <a:srgbClr val="000000"/>
              </a:solidFill>
              <a:latin typeface="Times New Roman"/>
              <a:ea typeface="Times New Roman"/>
              <a:cs typeface="Times New Roman"/>
            </a:rPr>
            <a:t>For mass purposes, each stage is assumed to be each section of the rocket that would be considered an independent stage. For instance, if two stages are being simulated, the first stage data does not include the payload if its being catrried in the second stage. Also, propellant, and structure weight is only for the 1st stage that will be ejected prior to beginning of 2 stage.  The delay time refers to the time that must pass after previous stage motor burns out before firing the next stage motor.
</a:t>
          </a:r>
          <a:r>
            <a:rPr lang="en-US" cap="none" sz="1100" b="1" i="0" u="none" baseline="0">
              <a:solidFill>
                <a:srgbClr val="000000"/>
              </a:solidFill>
              <a:latin typeface="Times New Roman"/>
              <a:ea typeface="Times New Roman"/>
              <a:cs typeface="Times New Roman"/>
            </a:rPr>
            <a:t>For drag coefficient values however, each stage is assumed to be the entire body flying at the time. If a 2 stage rocket happens to be flying during its first stage, the drag would include both stages . Reference area is the biggest cross section of the entire body during each stage.
</a:t>
          </a:r>
          <a:r>
            <a:rPr lang="en-US" cap="none" sz="1100" b="1" i="0" u="none" baseline="0">
              <a:solidFill>
                <a:srgbClr val="000000"/>
              </a:solidFill>
              <a:latin typeface="Times New Roman"/>
              <a:ea typeface="Times New Roman"/>
              <a:cs typeface="Times New Roman"/>
            </a:rPr>
            <a:t>At the end of each thrust table, make sure to enter the nozzle exit area of the motor. If the stage happens to be a dart, simply type 0 for thrust, and ignore the nozzle exit area. A dummy value of 1 will appear  in the vacuum ISP cell. This is done to avoid division by zero in the mass flow rate computation.</a:t>
          </a:r>
        </a:p>
      </xdr:txBody>
    </xdr:sp>
    <xdr:clientData/>
  </xdr:twoCellAnchor>
  <xdr:twoCellAnchor>
    <xdr:from>
      <xdr:col>0</xdr:col>
      <xdr:colOff>133350</xdr:colOff>
      <xdr:row>0</xdr:row>
      <xdr:rowOff>57150</xdr:rowOff>
    </xdr:from>
    <xdr:to>
      <xdr:col>8</xdr:col>
      <xdr:colOff>9525</xdr:colOff>
      <xdr:row>2</xdr:row>
      <xdr:rowOff>9525</xdr:rowOff>
    </xdr:to>
    <xdr:sp>
      <xdr:nvSpPr>
        <xdr:cNvPr id="5" name="TextBox 5"/>
        <xdr:cNvSpPr txBox="1">
          <a:spLocks noChangeArrowheads="1"/>
        </xdr:cNvSpPr>
      </xdr:nvSpPr>
      <xdr:spPr>
        <a:xfrm>
          <a:off x="133350" y="57150"/>
          <a:ext cx="18497550" cy="333375"/>
        </a:xfrm>
        <a:prstGeom prst="rect">
          <a:avLst/>
        </a:prstGeom>
        <a:solidFill>
          <a:srgbClr val="BFBFBF"/>
        </a:solidFill>
        <a:ln w="9525" cmpd="sng">
          <a:solidFill>
            <a:srgbClr val="BCBCBC"/>
          </a:solidFill>
          <a:headEnd type="none"/>
          <a:tailEnd type="none"/>
        </a:ln>
      </xdr:spPr>
      <xdr:txBody>
        <a:bodyPr vertOverflow="clip" wrap="square" lIns="91440" tIns="45720" rIns="91440" bIns="45720"/>
        <a:p>
          <a:pPr algn="l">
            <a:defRPr/>
          </a:pPr>
          <a:r>
            <a:rPr lang="en-US" cap="none" sz="1200" b="1" i="0" u="none" baseline="0">
              <a:solidFill>
                <a:srgbClr val="000000"/>
              </a:solidFill>
              <a:latin typeface="Times New Roman"/>
              <a:ea typeface="Times New Roman"/>
              <a:cs typeface="Times New Roman"/>
            </a:rPr>
            <a:t>To use this program,</a:t>
          </a:r>
          <a:r>
            <a:rPr lang="en-US" cap="none" sz="1200" b="1" i="0" u="none" baseline="0">
              <a:solidFill>
                <a:srgbClr val="000000"/>
              </a:solidFill>
              <a:latin typeface="Times New Roman"/>
              <a:ea typeface="Times New Roman"/>
              <a:cs typeface="Times New Roman"/>
            </a:rPr>
            <a:t> please fill in every approrpriate blue-colored cell. Scroll all the way down and click" run simulation button.".  Once simulation ends, you can find all the data in the page tab named "Solution</a:t>
          </a:r>
          <a:r>
            <a:rPr lang="en-US" cap="none" sz="1100" b="1" i="0" u="none" baseline="0">
              <a:solidFill>
                <a:srgbClr val="000000"/>
              </a:solidFill>
              <a:latin typeface="Calibri"/>
              <a:ea typeface="Calibri"/>
              <a:cs typeface="Calibri"/>
            </a:rPr>
            <a:t>". </a:t>
          </a:r>
        </a:p>
      </xdr:txBody>
    </xdr:sp>
    <xdr:clientData/>
  </xdr:twoCellAnchor>
  <xdr:oneCellAnchor>
    <xdr:from>
      <xdr:col>3</xdr:col>
      <xdr:colOff>2295525</xdr:colOff>
      <xdr:row>14</xdr:row>
      <xdr:rowOff>9525</xdr:rowOff>
    </xdr:from>
    <xdr:ext cx="600075" cy="552450"/>
    <xdr:sp>
      <xdr:nvSpPr>
        <xdr:cNvPr id="6" name="Text Box 980"/>
        <xdr:cNvSpPr txBox="1">
          <a:spLocks noChangeArrowheads="1"/>
        </xdr:cNvSpPr>
      </xdr:nvSpPr>
      <xdr:spPr>
        <a:xfrm>
          <a:off x="9544050" y="4743450"/>
          <a:ext cx="600075" cy="552450"/>
        </a:xfrm>
        <a:prstGeom prst="rect">
          <a:avLst/>
        </a:prstGeom>
        <a:noFill/>
        <a:ln w="9525" cmpd="sng">
          <a:noFill/>
        </a:ln>
      </xdr:spPr>
      <xdr:txBody>
        <a:bodyPr vertOverflow="clip" wrap="square" lIns="91440" tIns="45720" rIns="91440" bIns="45720"/>
        <a:p>
          <a:pPr algn="l">
            <a:defRPr/>
          </a:pPr>
          <a:r>
            <a:rPr lang="en-US" cap="none" sz="1400" b="0" i="0" u="none" baseline="0">
              <a:solidFill>
                <a:srgbClr val="000000"/>
              </a:solidFill>
            </a:rPr>
            <a:t/>
          </a:r>
        </a:p>
      </xdr:txBody>
    </xdr:sp>
    <xdr:clientData/>
  </xdr:oneCellAnchor>
  <xdr:oneCellAnchor>
    <xdr:from>
      <xdr:col>4</xdr:col>
      <xdr:colOff>0</xdr:colOff>
      <xdr:row>14</xdr:row>
      <xdr:rowOff>295275</xdr:rowOff>
    </xdr:from>
    <xdr:ext cx="809625" cy="781050"/>
    <xdr:sp>
      <xdr:nvSpPr>
        <xdr:cNvPr id="7" name="Text Box 981"/>
        <xdr:cNvSpPr txBox="1">
          <a:spLocks noChangeArrowheads="1"/>
        </xdr:cNvSpPr>
      </xdr:nvSpPr>
      <xdr:spPr>
        <a:xfrm rot="1010204">
          <a:off x="9886950" y="5029200"/>
          <a:ext cx="809625" cy="781050"/>
        </a:xfrm>
        <a:prstGeom prst="rect">
          <a:avLst/>
        </a:prstGeom>
        <a:noFill/>
        <a:ln w="9525" cmpd="sng">
          <a:noFill/>
        </a:ln>
      </xdr:spPr>
      <xdr:txBody>
        <a:bodyPr vertOverflow="clip" wrap="square" lIns="91440" tIns="45720" rIns="91440" bIns="45720"/>
        <a:p>
          <a:pPr algn="l">
            <a:defRPr/>
          </a:pPr>
          <a:r>
            <a:rPr lang="en-US" cap="none" sz="1400" b="0" i="0" u="none" baseline="0">
              <a:solidFill>
                <a:srgbClr val="000000"/>
              </a:solidFill>
            </a:rPr>
            <a:t/>
          </a:r>
        </a:p>
      </xdr:txBody>
    </xdr:sp>
    <xdr:clientData/>
  </xdr:oneCellAnchor>
  <xdr:oneCellAnchor>
    <xdr:from>
      <xdr:col>4</xdr:col>
      <xdr:colOff>666750</xdr:colOff>
      <xdr:row>14</xdr:row>
      <xdr:rowOff>133350</xdr:rowOff>
    </xdr:from>
    <xdr:ext cx="657225" cy="647700"/>
    <xdr:sp>
      <xdr:nvSpPr>
        <xdr:cNvPr id="8" name="Text Box 982"/>
        <xdr:cNvSpPr txBox="1">
          <a:spLocks noChangeArrowheads="1"/>
        </xdr:cNvSpPr>
      </xdr:nvSpPr>
      <xdr:spPr>
        <a:xfrm rot="18263356">
          <a:off x="10553700" y="4867275"/>
          <a:ext cx="657225" cy="647700"/>
        </a:xfrm>
        <a:prstGeom prst="rect">
          <a:avLst/>
        </a:prstGeom>
        <a:noFill/>
        <a:ln w="9525" cmpd="sng">
          <a:noFill/>
        </a:ln>
      </xdr:spPr>
      <xdr:txBody>
        <a:bodyPr vertOverflow="clip" wrap="square" lIns="91440" tIns="45720" rIns="91440" bIns="45720"/>
        <a:p>
          <a:pPr algn="l">
            <a:defRPr/>
          </a:pPr>
          <a:r>
            <a:rPr lang="en-US" cap="none" sz="1400" b="0" i="0" u="none" baseline="0">
              <a:solidFill>
                <a:srgbClr val="000000"/>
              </a:solidFill>
            </a:rPr>
            <a:t> 
</a:t>
          </a:r>
        </a:p>
      </xdr:txBody>
    </xdr:sp>
    <xdr:clientData/>
  </xdr:oneCellAnchor>
  <xdr:twoCellAnchor>
    <xdr:from>
      <xdr:col>2</xdr:col>
      <xdr:colOff>1914525</xdr:colOff>
      <xdr:row>13</xdr:row>
      <xdr:rowOff>171450</xdr:rowOff>
    </xdr:from>
    <xdr:to>
      <xdr:col>4</xdr:col>
      <xdr:colOff>2390775</xdr:colOff>
      <xdr:row>18</xdr:row>
      <xdr:rowOff>28575</xdr:rowOff>
    </xdr:to>
    <xdr:grpSp>
      <xdr:nvGrpSpPr>
        <xdr:cNvPr id="9" name="Group 25"/>
        <xdr:cNvGrpSpPr>
          <a:grpSpLocks/>
        </xdr:cNvGrpSpPr>
      </xdr:nvGrpSpPr>
      <xdr:grpSpPr>
        <a:xfrm>
          <a:off x="6934200" y="4333875"/>
          <a:ext cx="5343525" cy="2647950"/>
          <a:chOff x="4010068" y="4250061"/>
          <a:chExt cx="5023968" cy="2577247"/>
        </a:xfrm>
        <a:solidFill>
          <a:srgbClr val="FFFFFF"/>
        </a:solidFill>
      </xdr:grpSpPr>
      <xdr:sp>
        <xdr:nvSpPr>
          <xdr:cNvPr id="10" name="TextBox 8"/>
          <xdr:cNvSpPr txBox="1">
            <a:spLocks noChangeArrowheads="1"/>
          </xdr:cNvSpPr>
        </xdr:nvSpPr>
        <xdr:spPr>
          <a:xfrm>
            <a:off x="4010068" y="6474869"/>
            <a:ext cx="4612003" cy="352439"/>
          </a:xfrm>
          <a:prstGeom prst="rect">
            <a:avLst/>
          </a:prstGeom>
          <a:solidFill>
            <a:srgbClr val="FFFFFF"/>
          </a:solidFill>
          <a:ln w="9525" cmpd="sng">
            <a:noFill/>
          </a:ln>
        </xdr:spPr>
        <xdr:txBody>
          <a:bodyPr vertOverflow="clip" wrap="square" lIns="36576" tIns="36576" rIns="36576" bIns="0"/>
          <a:p>
            <a:pPr algn="ctr">
              <a:defRPr/>
            </a:pPr>
            <a:r>
              <a:rPr lang="en-US" cap="none" sz="1600" b="0" i="0" u="none" baseline="0">
                <a:solidFill>
                  <a:srgbClr val="000000"/>
                </a:solidFill>
                <a:latin typeface="Calibri"/>
                <a:ea typeface="Calibri"/>
                <a:cs typeface="Calibri"/>
              </a:rPr>
              <a:t>Wind and Trajectory Azimuth Angles Sign Convention</a:t>
            </a:r>
          </a:p>
        </xdr:txBody>
      </xdr:sp>
      <xdr:sp>
        <xdr:nvSpPr>
          <xdr:cNvPr id="11" name="Text Box 986"/>
          <xdr:cNvSpPr txBox="1">
            <a:spLocks noChangeArrowheads="1"/>
          </xdr:cNvSpPr>
        </xdr:nvSpPr>
        <xdr:spPr>
          <a:xfrm>
            <a:off x="4493625" y="4315136"/>
            <a:ext cx="581524" cy="538000"/>
          </a:xfrm>
          <a:prstGeom prst="rect">
            <a:avLst/>
          </a:prstGeom>
          <a:noFill/>
          <a:ln w="9525" cmpd="sng">
            <a:noFill/>
          </a:ln>
        </xdr:spPr>
        <xdr:txBody>
          <a:bodyPr vertOverflow="clip" wrap="square" lIns="91440" tIns="45720" rIns="91440" bIns="45720">
            <a:spAutoFit/>
          </a:bodyPr>
          <a:p>
            <a:pPr algn="l">
              <a:defRPr/>
            </a:pPr>
            <a:r>
              <a:rPr lang="en-US" cap="none" sz="1400" b="0" i="0" u="none" baseline="0">
                <a:solidFill>
                  <a:srgbClr val="000000"/>
                </a:solidFill>
              </a:rPr>
              <a:t>North
</a:t>
            </a:r>
          </a:p>
        </xdr:txBody>
      </xdr:sp>
      <xdr:sp>
        <xdr:nvSpPr>
          <xdr:cNvPr id="12" name="Text Box 987"/>
          <xdr:cNvSpPr txBox="1">
            <a:spLocks noChangeArrowheads="1"/>
          </xdr:cNvSpPr>
        </xdr:nvSpPr>
        <xdr:spPr>
          <a:xfrm rot="1010204">
            <a:off x="4708400" y="4982643"/>
            <a:ext cx="921898" cy="538000"/>
          </a:xfrm>
          <a:prstGeom prst="rect">
            <a:avLst/>
          </a:prstGeom>
          <a:noFill/>
          <a:ln w="9525" cmpd="sng">
            <a:noFill/>
          </a:ln>
        </xdr:spPr>
        <xdr:txBody>
          <a:bodyPr vertOverflow="clip" wrap="square" lIns="91440" tIns="45720" rIns="91440" bIns="45720">
            <a:spAutoFit/>
          </a:bodyPr>
          <a:p>
            <a:pPr algn="l">
              <a:defRPr/>
            </a:pPr>
            <a:r>
              <a:rPr lang="en-US" cap="none" sz="1400" b="0" i="0" u="none" baseline="0">
                <a:solidFill>
                  <a:srgbClr val="000000"/>
                </a:solidFill>
              </a:rPr>
              <a:t>+ Azimuth
</a:t>
            </a:r>
          </a:p>
        </xdr:txBody>
      </xdr:sp>
      <xdr:sp>
        <xdr:nvSpPr>
          <xdr:cNvPr id="13" name="Text Box 988"/>
          <xdr:cNvSpPr txBox="1">
            <a:spLocks noChangeArrowheads="1"/>
          </xdr:cNvSpPr>
        </xdr:nvSpPr>
        <xdr:spPr>
          <a:xfrm rot="18263356">
            <a:off x="5371563" y="4250061"/>
            <a:ext cx="1235896" cy="648822"/>
          </a:xfrm>
          <a:prstGeom prst="rect">
            <a:avLst/>
          </a:prstGeom>
          <a:noFill/>
          <a:ln w="9525" cmpd="sng">
            <a:noFill/>
          </a:ln>
        </xdr:spPr>
        <xdr:txBody>
          <a:bodyPr vertOverflow="clip" wrap="square" lIns="91440" tIns="45720" rIns="91440" bIns="45720"/>
          <a:p>
            <a:pPr algn="l">
              <a:defRPr/>
            </a:pPr>
            <a:r>
              <a:rPr lang="en-US" cap="none" sz="1400" b="0" i="0" u="none" baseline="0">
                <a:solidFill>
                  <a:srgbClr val="000000"/>
                </a:solidFill>
                <a:latin typeface="Arial"/>
                <a:ea typeface="Arial"/>
                <a:cs typeface="Arial"/>
              </a:rPr>
              <a:t>Trajectory 
</a:t>
            </a:r>
            <a:r>
              <a:rPr lang="en-US" cap="none" sz="1400" b="0" i="0" u="none" baseline="0">
                <a:solidFill>
                  <a:srgbClr val="000000"/>
                </a:solidFill>
                <a:latin typeface="Arial"/>
                <a:ea typeface="Arial"/>
                <a:cs typeface="Arial"/>
              </a:rPr>
              <a:t>      Plane
</a:t>
            </a:r>
          </a:p>
        </xdr:txBody>
      </xdr:sp>
      <xdr:sp>
        <xdr:nvSpPr>
          <xdr:cNvPr id="20" name="Text Box 995"/>
          <xdr:cNvSpPr txBox="1">
            <a:spLocks noChangeArrowheads="1"/>
          </xdr:cNvSpPr>
        </xdr:nvSpPr>
        <xdr:spPr>
          <a:xfrm>
            <a:off x="6499444" y="4250061"/>
            <a:ext cx="581524" cy="538000"/>
          </a:xfrm>
          <a:prstGeom prst="rect">
            <a:avLst/>
          </a:prstGeom>
          <a:noFill/>
          <a:ln w="9525" cmpd="sng">
            <a:noFill/>
          </a:ln>
        </xdr:spPr>
        <xdr:txBody>
          <a:bodyPr vertOverflow="clip" wrap="square" lIns="91440" tIns="45720" rIns="91440" bIns="45720">
            <a:spAutoFit/>
          </a:bodyPr>
          <a:p>
            <a:pPr algn="l">
              <a:defRPr/>
            </a:pPr>
            <a:r>
              <a:rPr lang="en-US" cap="none" sz="1400" b="0" i="0" u="none" baseline="0">
                <a:solidFill>
                  <a:srgbClr val="000000"/>
                </a:solidFill>
              </a:rPr>
              <a:t>North
</a:t>
            </a:r>
          </a:p>
        </xdr:txBody>
      </xdr:sp>
      <xdr:sp>
        <xdr:nvSpPr>
          <xdr:cNvPr id="21" name="Text Box 996"/>
          <xdr:cNvSpPr txBox="1">
            <a:spLocks noChangeArrowheads="1"/>
          </xdr:cNvSpPr>
        </xdr:nvSpPr>
        <xdr:spPr>
          <a:xfrm rot="1967373">
            <a:off x="7117392" y="4843472"/>
            <a:ext cx="778715" cy="760288"/>
          </a:xfrm>
          <a:prstGeom prst="rect">
            <a:avLst/>
          </a:prstGeom>
          <a:noFill/>
          <a:ln w="9525" cmpd="sng">
            <a:noFill/>
          </a:ln>
        </xdr:spPr>
        <xdr:txBody>
          <a:bodyPr vertOverflow="clip" wrap="square" lIns="91440" tIns="45720" rIns="91440" bIns="45720">
            <a:spAutoFit/>
          </a:bodyPr>
          <a:p>
            <a:pPr algn="l">
              <a:defRPr/>
            </a:pPr>
            <a:r>
              <a:rPr lang="en-US" cap="none" sz="1400" b="0" i="0" u="none" baseline="0">
                <a:solidFill>
                  <a:srgbClr val="000000"/>
                </a:solidFill>
                <a:latin typeface="Arial"/>
                <a:ea typeface="Arial"/>
                <a:cs typeface="Arial"/>
              </a:rPr>
              <a:t>+ Wind 
</a:t>
            </a:r>
            <a:r>
              <a:rPr lang="en-US" cap="none" sz="1400" b="0" i="0" u="none" baseline="0">
                <a:solidFill>
                  <a:srgbClr val="000000"/>
                </a:solidFill>
                <a:latin typeface="Arial"/>
                <a:ea typeface="Arial"/>
                <a:cs typeface="Arial"/>
              </a:rPr>
              <a:t>Azimuth
</a:t>
            </a:r>
          </a:p>
        </xdr:txBody>
      </xdr:sp>
      <xdr:sp>
        <xdr:nvSpPr>
          <xdr:cNvPr id="22" name="Text Box 997"/>
          <xdr:cNvSpPr txBox="1">
            <a:spLocks noChangeArrowheads="1"/>
          </xdr:cNvSpPr>
        </xdr:nvSpPr>
        <xdr:spPr>
          <a:xfrm rot="19884810">
            <a:off x="8318121" y="5529664"/>
            <a:ext cx="715915" cy="538000"/>
          </a:xfrm>
          <a:prstGeom prst="rect">
            <a:avLst/>
          </a:prstGeom>
          <a:noFill/>
          <a:ln w="9525" cmpd="sng">
            <a:noFill/>
          </a:ln>
        </xdr:spPr>
        <xdr:txBody>
          <a:bodyPr vertOverflow="clip" wrap="square" lIns="91440" tIns="45720" rIns="91440" bIns="45720">
            <a:spAutoFit/>
          </a:bodyPr>
          <a:p>
            <a:pPr algn="l">
              <a:defRPr/>
            </a:pPr>
            <a:r>
              <a:rPr lang="en-US" cap="none" sz="1400" b="0" i="0" u="none" baseline="0">
                <a:solidFill>
                  <a:srgbClr val="000000"/>
                </a:solidFill>
              </a:rPr>
              <a:t>+ Wind
</a:t>
            </a:r>
          </a:p>
        </xdr:txBody>
      </xdr:sp>
    </xdr:grpSp>
    <xdr:clientData/>
  </xdr:twoCellAnchor>
  <xdr:twoCellAnchor>
    <xdr:from>
      <xdr:col>5</xdr:col>
      <xdr:colOff>1590675</xdr:colOff>
      <xdr:row>108</xdr:row>
      <xdr:rowOff>180975</xdr:rowOff>
    </xdr:from>
    <xdr:to>
      <xdr:col>7</xdr:col>
      <xdr:colOff>1362075</xdr:colOff>
      <xdr:row>114</xdr:row>
      <xdr:rowOff>161925</xdr:rowOff>
    </xdr:to>
    <xdr:grpSp>
      <xdr:nvGrpSpPr>
        <xdr:cNvPr id="23" name="Group 27"/>
        <xdr:cNvGrpSpPr>
          <a:grpSpLocks/>
        </xdr:cNvGrpSpPr>
      </xdr:nvGrpSpPr>
      <xdr:grpSpPr>
        <a:xfrm>
          <a:off x="14620875" y="25346025"/>
          <a:ext cx="3152775" cy="1276350"/>
          <a:chOff x="10674350" y="24667633"/>
          <a:chExt cx="3052233" cy="1293284"/>
        </a:xfrm>
        <a:solidFill>
          <a:srgbClr val="FFFFFF"/>
        </a:solidFill>
      </xdr:grpSpPr>
      <xdr:sp>
        <xdr:nvSpPr>
          <xdr:cNvPr id="24" name="Rectangle 998"/>
          <xdr:cNvSpPr>
            <a:spLocks/>
          </xdr:cNvSpPr>
        </xdr:nvSpPr>
        <xdr:spPr>
          <a:xfrm>
            <a:off x="10674350" y="24667633"/>
            <a:ext cx="3052233" cy="1293284"/>
          </a:xfrm>
          <a:prstGeom prst="rect">
            <a:avLst/>
          </a:prstGeom>
          <a:solidFill>
            <a:srgbClr val="B4B4B4"/>
          </a:solidFill>
          <a:ln w="9525" cmpd="sng">
            <a:solidFill>
              <a:srgbClr val="B4B4B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5" name="Text Box 999"/>
          <xdr:cNvSpPr txBox="1">
            <a:spLocks noChangeArrowheads="1"/>
          </xdr:cNvSpPr>
        </xdr:nvSpPr>
        <xdr:spPr>
          <a:xfrm>
            <a:off x="10674350" y="24764306"/>
            <a:ext cx="3033920" cy="1090562"/>
          </a:xfrm>
          <a:prstGeom prst="rect">
            <a:avLst/>
          </a:prstGeom>
          <a:noFill/>
          <a:ln w="9525" cmpd="sng">
            <a:solidFill>
              <a:srgbClr val="B4B4B4"/>
            </a:solidFill>
            <a:headEnd type="none"/>
            <a:tailEnd type="none"/>
          </a:ln>
        </xdr:spPr>
        <xdr:txBody>
          <a:bodyPr vertOverflow="clip" wrap="square" lIns="91440" tIns="45720" rIns="91440" bIns="45720"/>
          <a:p>
            <a:pPr algn="l">
              <a:defRPr/>
            </a:pPr>
            <a:r>
              <a:rPr lang="en-US" cap="none" sz="1200" b="1" i="0" u="none" baseline="0">
                <a:solidFill>
                  <a:srgbClr val="000000"/>
                </a:solidFill>
                <a:latin typeface="Times New Roman"/>
                <a:ea typeface="Times New Roman"/>
                <a:cs typeface="Times New Roman"/>
              </a:rPr>
              <a:t>For any stage, Payload is attached to that
</a:t>
            </a:r>
            <a:r>
              <a:rPr lang="en-US" cap="none" sz="1200" b="1" i="0" u="none" baseline="0">
                <a:solidFill>
                  <a:srgbClr val="000000"/>
                </a:solidFill>
                <a:latin typeface="Times New Roman"/>
                <a:ea typeface="Times New Roman"/>
                <a:cs typeface="Times New Roman"/>
              </a:rPr>
              <a:t>specific stage.  Otherwise, it is zero.  For
</a:t>
            </a:r>
            <a:r>
              <a:rPr lang="en-US" cap="none" sz="1200" b="1" i="0" u="none" baseline="0">
                <a:solidFill>
                  <a:srgbClr val="000000"/>
                </a:solidFill>
                <a:latin typeface="Times New Roman"/>
                <a:ea typeface="Times New Roman"/>
                <a:cs typeface="Times New Roman"/>
              </a:rPr>
              <a:t>example, consider a two stage rocket whose
</a:t>
            </a:r>
            <a:r>
              <a:rPr lang="en-US" cap="none" sz="1200" b="1" i="0" u="none" baseline="0">
                <a:solidFill>
                  <a:srgbClr val="000000"/>
                </a:solidFill>
                <a:latin typeface="Times New Roman"/>
                <a:ea typeface="Times New Roman"/>
                <a:cs typeface="Times New Roman"/>
              </a:rPr>
              <a:t>Payload rides atop Stage 2.  Then  Payload
</a:t>
            </a:r>
            <a:r>
              <a:rPr lang="en-US" cap="none" sz="1200" b="1" i="0" u="none" baseline="0">
                <a:solidFill>
                  <a:srgbClr val="000000"/>
                </a:solidFill>
                <a:latin typeface="Times New Roman"/>
                <a:ea typeface="Times New Roman"/>
                <a:cs typeface="Times New Roman"/>
              </a:rPr>
              <a:t>weight = 0 for Stage 1.
</a:t>
            </a:r>
          </a:p>
        </xdr:txBody>
      </xdr:sp>
    </xdr:grpSp>
    <xdr:clientData/>
  </xdr:twoCellAnchor>
  <xdr:twoCellAnchor editAs="absolute">
    <xdr:from>
      <xdr:col>1</xdr:col>
      <xdr:colOff>1447800</xdr:colOff>
      <xdr:row>551</xdr:row>
      <xdr:rowOff>19050</xdr:rowOff>
    </xdr:from>
    <xdr:to>
      <xdr:col>3</xdr:col>
      <xdr:colOff>2143125</xdr:colOff>
      <xdr:row>563</xdr:row>
      <xdr:rowOff>76200</xdr:rowOff>
    </xdr:to>
    <xdr:grpSp>
      <xdr:nvGrpSpPr>
        <xdr:cNvPr id="26" name="Group 32"/>
        <xdr:cNvGrpSpPr>
          <a:grpSpLocks/>
        </xdr:cNvGrpSpPr>
      </xdr:nvGrpSpPr>
      <xdr:grpSpPr>
        <a:xfrm>
          <a:off x="4410075" y="110499525"/>
          <a:ext cx="4981575" cy="2343150"/>
          <a:chOff x="2467842" y="108039475"/>
          <a:chExt cx="4970318" cy="2337955"/>
        </a:xfrm>
        <a:solidFill>
          <a:srgbClr val="FFFFFF"/>
        </a:solidFill>
      </xdr:grpSpPr>
      <xdr:sp>
        <xdr:nvSpPr>
          <xdr:cNvPr id="27" name="Rectangle 30"/>
          <xdr:cNvSpPr>
            <a:spLocks/>
          </xdr:cNvSpPr>
        </xdr:nvSpPr>
        <xdr:spPr>
          <a:xfrm>
            <a:off x="2467842" y="108039475"/>
            <a:ext cx="4970318" cy="233795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91440" tIns="45720" rIns="91440" bIns="45720" anchor="ctr"/>
          <a:p>
            <a:pPr algn="ctr">
              <a:defRPr/>
            </a:pPr>
            <a:r>
              <a:rPr lang="en-US" cap="none" sz="1200" b="1" i="0" u="none" baseline="0">
                <a:solidFill>
                  <a:srgbClr val="000000"/>
                </a:solidFill>
              </a:rPr>
              <a:t>California State University, Long Beach
</a:t>
            </a:r>
            <a:r>
              <a:rPr lang="en-US" cap="none" sz="1200" b="1" i="0" u="none" baseline="0">
                <a:solidFill>
                  <a:srgbClr val="000000"/>
                </a:solidFill>
              </a:rPr>
              <a:t>and
</a:t>
            </a:r>
            <a:r>
              <a:rPr lang="en-US" cap="none" sz="1200" b="1" i="0" u="none" baseline="0">
                <a:solidFill>
                  <a:srgbClr val="000000"/>
                </a:solidFill>
              </a:rPr>
              <a:t>Rocket Science</a:t>
            </a:r>
            <a:r>
              <a:rPr lang="en-US" cap="none" sz="1200" b="1" i="0" u="none" baseline="0">
                <a:solidFill>
                  <a:srgbClr val="000000"/>
                </a:solidFill>
              </a:rPr>
              <a:t> and Engineering Technology
</a:t>
            </a:r>
            <a:r>
              <a:rPr lang="en-US" cap="none" sz="1200" b="1" i="0" u="none" baseline="0">
                <a:solidFill>
                  <a:srgbClr val="000000"/>
                </a:solidFill>
              </a:rPr>
              <a:t>SkyAero 7.6.1</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Written</a:t>
            </a:r>
            <a:r>
              <a:rPr lang="en-US" cap="none" sz="1100" b="1" i="0" u="none" baseline="0">
                <a:solidFill>
                  <a:srgbClr val="000000"/>
                </a:solidFill>
              </a:rPr>
              <a:t> By: Charley Hoult, Armando Fuentes, Michael Tong, Hien Tran</a:t>
            </a:r>
          </a:p>
        </xdr:txBody>
      </xdr:sp>
      <xdr:sp macro="[0]!Clear_SkyAeroData">
        <xdr:nvSpPr>
          <xdr:cNvPr id="28" name="Rectangle 28"/>
          <xdr:cNvSpPr>
            <a:spLocks noChangeAspect="1"/>
          </xdr:cNvSpPr>
        </xdr:nvSpPr>
        <xdr:spPr>
          <a:xfrm>
            <a:off x="5119507" y="109189164"/>
            <a:ext cx="2034103" cy="484541"/>
          </a:xfrm>
          <a:prstGeom prst="rect">
            <a:avLst/>
          </a:prstGeom>
          <a:solidFill>
            <a:srgbClr val="A6A6A6"/>
          </a:solidFill>
          <a:ln w="9525" cmpd="sng">
            <a:noFill/>
          </a:ln>
        </xdr:spPr>
        <xdr:txBody>
          <a:bodyPr vertOverflow="clip" wrap="square" lIns="91440" tIns="45720" rIns="91440" bIns="45720" anchor="ctr"/>
          <a:p>
            <a:pPr algn="ctr">
              <a:defRPr/>
            </a:pPr>
            <a:r>
              <a:rPr lang="en-US" cap="none" sz="1100" b="1" i="0" u="none" baseline="0">
                <a:solidFill>
                  <a:srgbClr val="000000"/>
                </a:solidFill>
              </a:rPr>
              <a:t>Clear Current Solution Data</a:t>
            </a:r>
          </a:p>
        </xdr:txBody>
      </xdr:sp>
      <xdr:sp macro="[0]!SKYaeroSim">
        <xdr:nvSpPr>
          <xdr:cNvPr id="29" name="Rectangle 29"/>
          <xdr:cNvSpPr>
            <a:spLocks noChangeAspect="1"/>
          </xdr:cNvSpPr>
        </xdr:nvSpPr>
        <xdr:spPr>
          <a:xfrm>
            <a:off x="2800853" y="109189164"/>
            <a:ext cx="2005523" cy="494477"/>
          </a:xfrm>
          <a:prstGeom prst="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lIns="91440" tIns="45720" rIns="91440" bIns="45720" anchor="ctr"/>
          <a:p>
            <a:pPr algn="ctr">
              <a:defRPr/>
            </a:pPr>
            <a:r>
              <a:rPr lang="en-US" cap="none" sz="1100" b="1" i="0" u="none" baseline="0">
                <a:solidFill>
                  <a:srgbClr val="000000"/>
                </a:solidFill>
              </a:rPr>
              <a:t>Run Simulation</a:t>
            </a:r>
          </a:p>
        </xdr:txBody>
      </xdr:sp>
    </xdr:grpSp>
    <xdr:clientData fPrintsWithSheet="0"/>
  </xdr:twoCellAnchor>
  <xdr:twoCellAnchor editAs="absolute">
    <xdr:from>
      <xdr:col>5</xdr:col>
      <xdr:colOff>57150</xdr:colOff>
      <xdr:row>20</xdr:row>
      <xdr:rowOff>0</xdr:rowOff>
    </xdr:from>
    <xdr:to>
      <xdr:col>5</xdr:col>
      <xdr:colOff>1657350</xdr:colOff>
      <xdr:row>27</xdr:row>
      <xdr:rowOff>9525</xdr:rowOff>
    </xdr:to>
    <xdr:grpSp>
      <xdr:nvGrpSpPr>
        <xdr:cNvPr id="30" name="Group 36"/>
        <xdr:cNvGrpSpPr>
          <a:grpSpLocks/>
        </xdr:cNvGrpSpPr>
      </xdr:nvGrpSpPr>
      <xdr:grpSpPr>
        <a:xfrm>
          <a:off x="13087350" y="7810500"/>
          <a:ext cx="1600200" cy="1343025"/>
          <a:chOff x="11646477" y="7542068"/>
          <a:chExt cx="1601932" cy="1342159"/>
        </a:xfrm>
        <a:solidFill>
          <a:srgbClr val="FFFFFF"/>
        </a:solidFill>
      </xdr:grpSpPr>
      <xdr:sp>
        <xdr:nvSpPr>
          <xdr:cNvPr id="31" name="Rectangle 35"/>
          <xdr:cNvSpPr>
            <a:spLocks/>
          </xdr:cNvSpPr>
        </xdr:nvSpPr>
        <xdr:spPr>
          <a:xfrm>
            <a:off x="11646477" y="7542068"/>
            <a:ext cx="1601932" cy="1342159"/>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macro="[0]!Clear_WindProfile">
        <xdr:nvSpPr>
          <xdr:cNvPr id="32" name="Rectangle 33"/>
          <xdr:cNvSpPr>
            <a:spLocks/>
          </xdr:cNvSpPr>
        </xdr:nvSpPr>
        <xdr:spPr>
          <a:xfrm>
            <a:off x="11713358" y="7665882"/>
            <a:ext cx="1468571" cy="457005"/>
          </a:xfrm>
          <a:prstGeom prst="rect">
            <a:avLst/>
          </a:prstGeom>
          <a:gradFill rotWithShape="1">
            <a:gsLst>
              <a:gs pos="0">
                <a:srgbClr val="403785"/>
              </a:gs>
              <a:gs pos="50000">
                <a:srgbClr val="6053C1"/>
              </a:gs>
              <a:gs pos="100000">
                <a:srgbClr val="7465E5"/>
              </a:gs>
            </a:gsLst>
            <a:lin ang="5400000" scaled="1"/>
          </a:gradFill>
          <a:ln w="9525" cmpd="sng">
            <a:solidFill>
              <a:srgbClr val="4A7EBB"/>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Clear</a:t>
            </a:r>
            <a:r>
              <a:rPr lang="en-US" cap="none" sz="1100" b="0" i="0" u="none" baseline="0">
                <a:solidFill>
                  <a:srgbClr val="FFFFFF"/>
                </a:solidFill>
                <a:latin typeface="Calibri"/>
                <a:ea typeface="Calibri"/>
                <a:cs typeface="Calibri"/>
              </a:rPr>
              <a:t> Wind Profile</a:t>
            </a:r>
          </a:p>
        </xdr:txBody>
      </xdr:sp>
      <xdr:sp macro="[0]!GenWindProfile">
        <xdr:nvSpPr>
          <xdr:cNvPr id="33" name="Rectangle 34"/>
          <xdr:cNvSpPr>
            <a:spLocks/>
          </xdr:cNvSpPr>
        </xdr:nvSpPr>
        <xdr:spPr>
          <a:xfrm>
            <a:off x="11713358" y="8274887"/>
            <a:ext cx="1468571" cy="457005"/>
          </a:xfrm>
          <a:prstGeom prst="rect">
            <a:avLst/>
          </a:prstGeom>
          <a:gradFill rotWithShape="1">
            <a:gsLst>
              <a:gs pos="0">
                <a:srgbClr val="403785"/>
              </a:gs>
              <a:gs pos="50000">
                <a:srgbClr val="6053C1"/>
              </a:gs>
              <a:gs pos="100000">
                <a:srgbClr val="7465E5"/>
              </a:gs>
            </a:gsLst>
            <a:lin ang="5400000" scaled="1"/>
          </a:gradFill>
          <a:ln w="9525" cmpd="sng">
            <a:solidFill>
              <a:srgbClr val="7D60A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Generate Wind Profile</a:t>
            </a:r>
          </a:p>
        </xdr:txBody>
      </xdr:sp>
    </xdr:grpSp>
    <xdr:clientData/>
  </xdr:twoCellAnchor>
  <xdr:twoCellAnchor>
    <xdr:from>
      <xdr:col>4</xdr:col>
      <xdr:colOff>47625</xdr:colOff>
      <xdr:row>519</xdr:row>
      <xdr:rowOff>47625</xdr:rowOff>
    </xdr:from>
    <xdr:to>
      <xdr:col>5</xdr:col>
      <xdr:colOff>571500</xdr:colOff>
      <xdr:row>528</xdr:row>
      <xdr:rowOff>76200</xdr:rowOff>
    </xdr:to>
    <xdr:grpSp>
      <xdr:nvGrpSpPr>
        <xdr:cNvPr id="34" name="Group 27"/>
        <xdr:cNvGrpSpPr>
          <a:grpSpLocks/>
        </xdr:cNvGrpSpPr>
      </xdr:nvGrpSpPr>
      <xdr:grpSpPr>
        <a:xfrm>
          <a:off x="9934575" y="104403525"/>
          <a:ext cx="3667125" cy="1771650"/>
          <a:chOff x="10674350" y="24667633"/>
          <a:chExt cx="3052233" cy="1293284"/>
        </a:xfrm>
        <a:solidFill>
          <a:srgbClr val="FFFFFF"/>
        </a:solidFill>
      </xdr:grpSpPr>
      <xdr:sp>
        <xdr:nvSpPr>
          <xdr:cNvPr id="35" name="Rectangle 998"/>
          <xdr:cNvSpPr>
            <a:spLocks/>
          </xdr:cNvSpPr>
        </xdr:nvSpPr>
        <xdr:spPr>
          <a:xfrm>
            <a:off x="10674350" y="24667633"/>
            <a:ext cx="3052233" cy="1293284"/>
          </a:xfrm>
          <a:prstGeom prst="rect">
            <a:avLst/>
          </a:prstGeom>
          <a:solidFill>
            <a:srgbClr val="B4B4B4"/>
          </a:solidFill>
          <a:ln w="9525" cmpd="sng">
            <a:solidFill>
              <a:srgbClr val="B4B4B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6" name="Text Box 999"/>
          <xdr:cNvSpPr txBox="1">
            <a:spLocks noChangeArrowheads="1"/>
          </xdr:cNvSpPr>
        </xdr:nvSpPr>
        <xdr:spPr>
          <a:xfrm>
            <a:off x="10674350" y="24764953"/>
            <a:ext cx="3036209" cy="1091532"/>
          </a:xfrm>
          <a:prstGeom prst="rect">
            <a:avLst/>
          </a:prstGeom>
          <a:noFill/>
          <a:ln w="9525" cmpd="sng">
            <a:solidFill>
              <a:srgbClr val="B4B4B4"/>
            </a:solidFill>
            <a:headEnd type="none"/>
            <a:tailEnd type="none"/>
          </a:ln>
        </xdr:spPr>
        <xdr:txBody>
          <a:bodyPr vertOverflow="clip" wrap="square" lIns="91440" tIns="45720" rIns="91440" bIns="45720"/>
          <a:p>
            <a:pPr algn="l">
              <a:defRPr/>
            </a:pPr>
            <a:r>
              <a:rPr lang="en-US" cap="none" sz="1200" b="1" i="0" u="none" baseline="0">
                <a:solidFill>
                  <a:srgbClr val="000000"/>
                </a:solidFill>
              </a:rPr>
              <a:t>If one were to follow an expend stage, fill in the appropriate green cell to the lower left with the weight of the expended stage after separation.  This will wipe out the logic that enables following the upper stage, so: do not save the modified version back to replace the original.  Instead, save it to another file or delete it after getting answers.
</a:t>
            </a:r>
          </a:p>
        </xdr:txBody>
      </xdr:sp>
    </xdr:grpSp>
    <xdr:clientData/>
  </xdr:twoCellAnchor>
  <xdr:twoCellAnchor>
    <xdr:from>
      <xdr:col>2</xdr:col>
      <xdr:colOff>9525</xdr:colOff>
      <xdr:row>523</xdr:row>
      <xdr:rowOff>142875</xdr:rowOff>
    </xdr:from>
    <xdr:to>
      <xdr:col>4</xdr:col>
      <xdr:colOff>47625</xdr:colOff>
      <xdr:row>533</xdr:row>
      <xdr:rowOff>95250</xdr:rowOff>
    </xdr:to>
    <xdr:sp>
      <xdr:nvSpPr>
        <xdr:cNvPr id="37" name="AutoShape 14169"/>
        <xdr:cNvSpPr>
          <a:spLocks/>
        </xdr:cNvSpPr>
      </xdr:nvSpPr>
      <xdr:spPr>
        <a:xfrm rot="10800000" flipV="1">
          <a:off x="5029200" y="105289350"/>
          <a:ext cx="4905375" cy="1857375"/>
        </a:xfrm>
        <a:prstGeom prst="curvedConnector3">
          <a:avLst>
            <a:gd name="adj" fmla="val 1155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304800</xdr:colOff>
      <xdr:row>9</xdr:row>
      <xdr:rowOff>104775</xdr:rowOff>
    </xdr:from>
    <xdr:to>
      <xdr:col>8</xdr:col>
      <xdr:colOff>790575</xdr:colOff>
      <xdr:row>21</xdr:row>
      <xdr:rowOff>38100</xdr:rowOff>
    </xdr:to>
    <xdr:pic>
      <xdr:nvPicPr>
        <xdr:cNvPr id="1" name="Picture 3"/>
        <xdr:cNvPicPr preferRelativeResize="1">
          <a:picLocks noChangeAspect="1"/>
        </xdr:cNvPicPr>
      </xdr:nvPicPr>
      <xdr:blipFill>
        <a:blip r:embed="rId1"/>
        <a:stretch>
          <a:fillRect/>
        </a:stretch>
      </xdr:blipFill>
      <xdr:spPr>
        <a:xfrm>
          <a:off x="4238625" y="2476500"/>
          <a:ext cx="4772025" cy="2219325"/>
        </a:xfrm>
        <a:prstGeom prst="rect">
          <a:avLst/>
        </a:prstGeom>
        <a:noFill/>
        <a:ln w="9525" cmpd="sng">
          <a:noFill/>
        </a:ln>
      </xdr:spPr>
    </xdr:pic>
    <xdr:clientData/>
  </xdr:twoCellAnchor>
  <xdr:twoCellAnchor editAs="oneCell">
    <xdr:from>
      <xdr:col>0</xdr:col>
      <xdr:colOff>0</xdr:colOff>
      <xdr:row>10</xdr:row>
      <xdr:rowOff>161925</xdr:rowOff>
    </xdr:from>
    <xdr:to>
      <xdr:col>5</xdr:col>
      <xdr:colOff>133350</xdr:colOff>
      <xdr:row>19</xdr:row>
      <xdr:rowOff>28575</xdr:rowOff>
    </xdr:to>
    <xdr:pic>
      <xdr:nvPicPr>
        <xdr:cNvPr id="2" name="Picture 6"/>
        <xdr:cNvPicPr preferRelativeResize="1">
          <a:picLocks noChangeAspect="1"/>
        </xdr:cNvPicPr>
      </xdr:nvPicPr>
      <xdr:blipFill>
        <a:blip r:embed="rId2"/>
        <a:stretch>
          <a:fillRect/>
        </a:stretch>
      </xdr:blipFill>
      <xdr:spPr>
        <a:xfrm>
          <a:off x="0" y="2724150"/>
          <a:ext cx="5105400" cy="1581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inputsheet"/>
  <dimension ref="A3:N576"/>
  <sheetViews>
    <sheetView tabSelected="1" zoomScalePageLayoutView="0" workbookViewId="0" topLeftCell="A1">
      <selection activeCell="E551" sqref="E551"/>
    </sheetView>
  </sheetViews>
  <sheetFormatPr defaultColWidth="9.140625" defaultRowHeight="15"/>
  <cols>
    <col min="1" max="1" width="44.421875" style="11" customWidth="1"/>
    <col min="2" max="2" width="30.8515625" style="11" customWidth="1"/>
    <col min="3" max="3" width="33.421875" style="11" customWidth="1"/>
    <col min="4" max="4" width="39.57421875" style="11" customWidth="1"/>
    <col min="5" max="5" width="47.140625" style="11" customWidth="1"/>
    <col min="6" max="6" width="26.140625" style="11" customWidth="1"/>
    <col min="7" max="7" width="24.57421875" style="11" customWidth="1"/>
    <col min="8" max="8" width="33.140625" style="11" customWidth="1"/>
    <col min="9" max="9" width="20.8515625" style="11" customWidth="1"/>
    <col min="10" max="10" width="21.00390625" style="11" customWidth="1"/>
    <col min="11" max="11" width="15.7109375" style="11" customWidth="1"/>
    <col min="12" max="12" width="16.140625" style="11" customWidth="1"/>
    <col min="13" max="13" width="14.7109375" style="11" customWidth="1"/>
    <col min="14" max="14" width="12.8515625" style="11" customWidth="1"/>
    <col min="15" max="15" width="15.57421875" style="11" customWidth="1"/>
    <col min="16" max="23" width="9.140625" style="11" customWidth="1"/>
    <col min="24" max="24" width="10.28125" style="11" customWidth="1"/>
    <col min="25" max="34" width="9.140625" style="11" customWidth="1"/>
    <col min="35" max="35" width="10.140625" style="11" customWidth="1"/>
    <col min="36" max="36" width="9.8515625" style="11" customWidth="1"/>
    <col min="37" max="16384" width="9.140625" style="11" customWidth="1"/>
  </cols>
  <sheetData>
    <row r="1" ht="15"/>
    <row r="2" ht="15"/>
    <row r="3" spans="1:8" ht="15">
      <c r="A3" s="108" t="s">
        <v>39</v>
      </c>
      <c r="B3" s="108"/>
      <c r="C3" s="108"/>
      <c r="D3" s="108"/>
      <c r="F3" s="108" t="s">
        <v>40</v>
      </c>
      <c r="G3" s="108"/>
      <c r="H3" s="108"/>
    </row>
    <row r="4" spans="1:8" ht="15">
      <c r="A4" s="12" t="s">
        <v>0</v>
      </c>
      <c r="B4" s="12" t="s">
        <v>1</v>
      </c>
      <c r="C4" s="12" t="s">
        <v>2</v>
      </c>
      <c r="D4" s="12" t="s">
        <v>8</v>
      </c>
      <c r="F4" s="13" t="s">
        <v>0</v>
      </c>
      <c r="G4" s="12" t="s">
        <v>1</v>
      </c>
      <c r="H4" s="12" t="s">
        <v>8</v>
      </c>
    </row>
    <row r="5" spans="1:9" ht="25.5" customHeight="1">
      <c r="A5" s="14" t="s">
        <v>69</v>
      </c>
      <c r="B5" s="15">
        <v>32.174</v>
      </c>
      <c r="C5" s="11" t="s">
        <v>3</v>
      </c>
      <c r="F5" s="16" t="s">
        <v>107</v>
      </c>
      <c r="G5" s="15">
        <f>PI()/180</f>
        <v>0.017453292519943295</v>
      </c>
      <c r="H5" s="17" t="s">
        <v>32</v>
      </c>
      <c r="I5" s="17"/>
    </row>
    <row r="6" spans="1:7" ht="30" customHeight="1">
      <c r="A6" s="18" t="s">
        <v>45</v>
      </c>
      <c r="B6" s="15">
        <v>20855437.3</v>
      </c>
      <c r="C6" s="11" t="s">
        <v>5</v>
      </c>
      <c r="D6" s="11" t="s">
        <v>145</v>
      </c>
      <c r="F6" s="16" t="s">
        <v>48</v>
      </c>
      <c r="G6" s="19">
        <f>B12/(B10*G7)</f>
        <v>0.0021771707990069053</v>
      </c>
    </row>
    <row r="7" spans="1:7" ht="31.5" customHeight="1">
      <c r="A7" s="18" t="s">
        <v>127</v>
      </c>
      <c r="B7" s="15">
        <v>20925597.9</v>
      </c>
      <c r="C7" s="11" t="s">
        <v>5</v>
      </c>
      <c r="D7" s="11" t="s">
        <v>146</v>
      </c>
      <c r="F7" s="16" t="s">
        <v>41</v>
      </c>
      <c r="G7" s="19">
        <f>G9-B13*B65+459.67</f>
        <v>566.4386476</v>
      </c>
    </row>
    <row r="8" spans="1:7" ht="28.5" customHeight="1">
      <c r="A8" s="18" t="s">
        <v>46</v>
      </c>
      <c r="B8" s="15">
        <v>27900</v>
      </c>
      <c r="C8" s="11" t="s">
        <v>5</v>
      </c>
      <c r="D8" s="11" t="s">
        <v>147</v>
      </c>
      <c r="F8" s="16" t="s">
        <v>42</v>
      </c>
      <c r="G8" s="19">
        <f>1/SQRT((COS(B74*G5)/B9)^2+(SIN(B74*G5)/B8)^2)</f>
        <v>39190.86799766047</v>
      </c>
    </row>
    <row r="9" spans="1:7" ht="32.25" customHeight="1">
      <c r="A9" s="18" t="s">
        <v>128</v>
      </c>
      <c r="B9" s="15">
        <v>52500</v>
      </c>
      <c r="C9" s="11" t="s">
        <v>5</v>
      </c>
      <c r="D9" s="11" t="s">
        <v>148</v>
      </c>
      <c r="F9" s="16" t="s">
        <v>43</v>
      </c>
      <c r="G9" s="20">
        <v>100</v>
      </c>
    </row>
    <row r="10" spans="1:7" ht="32.25" customHeight="1">
      <c r="A10" s="18" t="s">
        <v>6</v>
      </c>
      <c r="B10" s="15">
        <v>1716</v>
      </c>
      <c r="C10" s="11" t="s">
        <v>7</v>
      </c>
      <c r="D10" s="11" t="s">
        <v>149</v>
      </c>
      <c r="F10" s="102" t="s">
        <v>309</v>
      </c>
      <c r="G10" s="19">
        <f>B12*(G11/G7)^(-B5/(B13*B10))</f>
        <v>477.0891504942121</v>
      </c>
    </row>
    <row r="11" spans="1:7" ht="30" customHeight="1">
      <c r="A11" s="21" t="s">
        <v>9</v>
      </c>
      <c r="B11" s="15">
        <v>1.405</v>
      </c>
      <c r="D11" s="11" t="s">
        <v>151</v>
      </c>
      <c r="F11" s="16" t="s">
        <v>44</v>
      </c>
      <c r="G11" s="19">
        <f>G7+B13*G8</f>
        <v>426.6761741467432</v>
      </c>
    </row>
    <row r="12" spans="1:7" ht="27.75" customHeight="1">
      <c r="A12" s="21" t="s">
        <v>47</v>
      </c>
      <c r="B12" s="15">
        <v>2116.229</v>
      </c>
      <c r="C12" s="11" t="s">
        <v>10</v>
      </c>
      <c r="D12" s="11" t="s">
        <v>150</v>
      </c>
      <c r="F12" s="72"/>
      <c r="G12" s="72"/>
    </row>
    <row r="13" spans="1:4" ht="30" customHeight="1">
      <c r="A13" s="21" t="s">
        <v>11</v>
      </c>
      <c r="B13" s="15">
        <v>-0.0035662</v>
      </c>
      <c r="C13" s="22" t="s">
        <v>12</v>
      </c>
      <c r="D13" s="11" t="s">
        <v>152</v>
      </c>
    </row>
    <row r="14" spans="1:2" ht="45" customHeight="1">
      <c r="A14" s="18" t="s">
        <v>4</v>
      </c>
      <c r="B14" s="15">
        <f>PI()</f>
        <v>3.141592653589793</v>
      </c>
    </row>
    <row r="15" spans="1:2" ht="47.25" customHeight="1">
      <c r="A15" s="24" t="s">
        <v>35</v>
      </c>
      <c r="B15" s="15">
        <v>20925597.9</v>
      </c>
    </row>
    <row r="16" spans="1:2" ht="33" customHeight="1">
      <c r="A16" s="24" t="s">
        <v>36</v>
      </c>
      <c r="B16" s="15">
        <v>20855437.3</v>
      </c>
    </row>
    <row r="17" spans="5:7" ht="41.25" customHeight="1">
      <c r="E17" s="17"/>
      <c r="F17" s="23" t="s">
        <v>265</v>
      </c>
      <c r="G17" s="82">
        <f>B73</f>
        <v>0</v>
      </c>
    </row>
    <row r="18" spans="6:7" ht="53.25" customHeight="1">
      <c r="F18" s="23" t="s">
        <v>303</v>
      </c>
      <c r="G18" s="96" t="s">
        <v>310</v>
      </c>
    </row>
    <row r="19" spans="1:10" ht="22.5" customHeight="1">
      <c r="A19" s="25" t="s">
        <v>53</v>
      </c>
      <c r="J19" s="11" t="s">
        <v>206</v>
      </c>
    </row>
    <row r="20" spans="1:14" ht="45">
      <c r="A20" s="26" t="s">
        <v>27</v>
      </c>
      <c r="B20" s="27" t="s">
        <v>37</v>
      </c>
      <c r="C20" s="27" t="s">
        <v>28</v>
      </c>
      <c r="D20" s="28" t="s">
        <v>38</v>
      </c>
      <c r="F20" s="29" t="s">
        <v>308</v>
      </c>
      <c r="G20" s="30" t="s">
        <v>119</v>
      </c>
      <c r="H20" s="30" t="str">
        <f>IF(inputsheet!G18=TRUE,("In-Plane Wind Component, ft/s"),IF(inputsheet!G18=FALSE,("Cross-Plane Wind Component, ft/s"),"No Winds, ft/s"))</f>
        <v>No Winds, ft/s</v>
      </c>
      <c r="I20" s="31" t="s">
        <v>29</v>
      </c>
      <c r="K20" s="27" t="s">
        <v>316</v>
      </c>
      <c r="L20" s="30" t="s">
        <v>119</v>
      </c>
      <c r="M20" s="27" t="s">
        <v>306</v>
      </c>
      <c r="N20" s="27" t="s">
        <v>307</v>
      </c>
    </row>
    <row r="21" spans="2:14" ht="15">
      <c r="B21" s="32">
        <v>0</v>
      </c>
      <c r="C21" s="32">
        <v>0</v>
      </c>
      <c r="D21" s="19">
        <f aca="true" t="shared" si="0" ref="D21:D61">(C22-C21)/(B22-B21)</f>
        <v>0.46890592999999997</v>
      </c>
      <c r="G21" s="33">
        <v>0</v>
      </c>
      <c r="H21"/>
      <c r="I21" s="11">
        <f>(H22-H21)/(G22-G21)</f>
        <v>0</v>
      </c>
      <c r="L21" s="33">
        <v>0</v>
      </c>
      <c r="M21" s="20">
        <v>0</v>
      </c>
      <c r="N21" s="20">
        <v>0</v>
      </c>
    </row>
    <row r="22" spans="2:14" ht="15">
      <c r="B22" s="32">
        <v>0.1</v>
      </c>
      <c r="C22" s="32">
        <v>0.046890593</v>
      </c>
      <c r="D22" s="19">
        <f t="shared" si="0"/>
        <v>0.59083927</v>
      </c>
      <c r="G22" s="34">
        <v>5</v>
      </c>
      <c r="H22"/>
      <c r="I22" s="11">
        <f aca="true" t="shared" si="1" ref="I22:I37">(H23-H22)/(G23-G22)</f>
        <v>0</v>
      </c>
      <c r="K22" s="17"/>
      <c r="L22" s="34">
        <v>65</v>
      </c>
      <c r="M22" s="20">
        <v>-6</v>
      </c>
      <c r="N22" s="20">
        <v>-6</v>
      </c>
    </row>
    <row r="23" spans="2:14" ht="15">
      <c r="B23" s="32">
        <v>0.2</v>
      </c>
      <c r="C23" s="32">
        <v>0.10597452</v>
      </c>
      <c r="D23" s="19">
        <f t="shared" si="0"/>
        <v>0.5782041000000001</v>
      </c>
      <c r="G23" s="34">
        <v>10</v>
      </c>
      <c r="H23"/>
      <c r="I23" s="11">
        <f t="shared" si="1"/>
        <v>0</v>
      </c>
      <c r="K23" s="17"/>
      <c r="L23" s="34">
        <v>400</v>
      </c>
      <c r="M23" s="20">
        <v>-11</v>
      </c>
      <c r="N23" s="20">
        <v>-11</v>
      </c>
    </row>
    <row r="24" spans="2:14" ht="15">
      <c r="B24" s="32">
        <v>0.3</v>
      </c>
      <c r="C24" s="32">
        <v>0.16379493</v>
      </c>
      <c r="D24" s="19">
        <f t="shared" si="0"/>
        <v>0.5425293999999998</v>
      </c>
      <c r="G24" s="33">
        <v>15</v>
      </c>
      <c r="H24"/>
      <c r="I24" s="11">
        <f t="shared" si="1"/>
        <v>0</v>
      </c>
      <c r="L24" s="34">
        <v>600</v>
      </c>
      <c r="M24" s="20"/>
      <c r="N24" s="20"/>
    </row>
    <row r="25" spans="2:14" ht="15">
      <c r="B25" s="32">
        <v>0.4</v>
      </c>
      <c r="C25" s="32">
        <v>0.21804787</v>
      </c>
      <c r="D25" s="19">
        <f t="shared" si="0"/>
        <v>0.5018508000000004</v>
      </c>
      <c r="G25" s="34">
        <v>20</v>
      </c>
      <c r="H25"/>
      <c r="I25" s="11">
        <f t="shared" si="1"/>
        <v>0</v>
      </c>
      <c r="L25" s="34">
        <v>650</v>
      </c>
      <c r="M25" s="20"/>
      <c r="N25" s="20"/>
    </row>
    <row r="26" spans="2:14" ht="15">
      <c r="B26" s="35">
        <v>0.5</v>
      </c>
      <c r="C26" s="35">
        <v>0.26823295</v>
      </c>
      <c r="D26" s="19">
        <f t="shared" si="0"/>
        <v>0.44283150000000004</v>
      </c>
      <c r="G26" s="34">
        <v>25</v>
      </c>
      <c r="H26"/>
      <c r="I26" s="11">
        <f t="shared" si="1"/>
        <v>0</v>
      </c>
      <c r="L26" s="34">
        <v>700</v>
      </c>
      <c r="M26" s="20"/>
      <c r="N26" s="20"/>
    </row>
    <row r="27" spans="2:14" ht="15">
      <c r="B27" s="36">
        <v>0.7</v>
      </c>
      <c r="C27" s="36">
        <v>0.35679925</v>
      </c>
      <c r="D27" s="19">
        <f t="shared" si="0"/>
        <v>0.3734770499999997</v>
      </c>
      <c r="G27" s="34">
        <f>B78</f>
        <v>23.536205079543013</v>
      </c>
      <c r="H27"/>
      <c r="I27" s="11">
        <f t="shared" si="1"/>
        <v>0</v>
      </c>
      <c r="L27" s="34">
        <v>750</v>
      </c>
      <c r="M27" s="20"/>
      <c r="N27" s="20"/>
    </row>
    <row r="28" spans="2:14" ht="15">
      <c r="B28" s="36">
        <v>0.9</v>
      </c>
      <c r="C28" s="36">
        <v>0.43149466</v>
      </c>
      <c r="D28" s="19">
        <f t="shared" si="0"/>
        <v>0.2925749000000001</v>
      </c>
      <c r="G28" s="34">
        <v>50</v>
      </c>
      <c r="H28"/>
      <c r="I28" s="11">
        <f t="shared" si="1"/>
        <v>0</v>
      </c>
      <c r="L28" s="34">
        <v>800</v>
      </c>
      <c r="M28" s="20"/>
      <c r="N28" s="20"/>
    </row>
    <row r="29" spans="2:14" ht="15">
      <c r="B29" s="36">
        <v>1.3</v>
      </c>
      <c r="C29" s="36">
        <v>0.54852462</v>
      </c>
      <c r="D29" s="19">
        <f t="shared" si="0"/>
        <v>0.21459652499999987</v>
      </c>
      <c r="G29" s="34">
        <v>55</v>
      </c>
      <c r="H29"/>
      <c r="I29" s="11">
        <f t="shared" si="1"/>
        <v>0</v>
      </c>
      <c r="L29" s="34">
        <v>850</v>
      </c>
      <c r="M29" s="20"/>
      <c r="N29" s="20"/>
    </row>
    <row r="30" spans="2:14" ht="15">
      <c r="B30" s="36">
        <v>1.7</v>
      </c>
      <c r="C30" s="36">
        <v>0.63436323</v>
      </c>
      <c r="D30" s="19">
        <f t="shared" si="0"/>
        <v>0.15618583999999996</v>
      </c>
      <c r="G30" s="33">
        <v>65</v>
      </c>
      <c r="H30"/>
      <c r="I30" s="11">
        <f t="shared" si="1"/>
        <v>0</v>
      </c>
      <c r="L30" s="34">
        <v>900</v>
      </c>
      <c r="M30" s="20"/>
      <c r="N30" s="20"/>
    </row>
    <row r="31" spans="2:14" ht="15">
      <c r="B31" s="36">
        <v>2.2</v>
      </c>
      <c r="C31" s="36">
        <v>0.71245615</v>
      </c>
      <c r="D31" s="19">
        <f t="shared" si="0"/>
        <v>0.10100956666666674</v>
      </c>
      <c r="G31" s="34">
        <v>70</v>
      </c>
      <c r="H31"/>
      <c r="I31" s="11">
        <f t="shared" si="1"/>
        <v>0</v>
      </c>
      <c r="L31" s="34">
        <v>1000</v>
      </c>
      <c r="M31" s="20"/>
      <c r="N31" s="20"/>
    </row>
    <row r="32" spans="2:14" ht="15">
      <c r="B32" s="36">
        <v>3.1</v>
      </c>
      <c r="C32" s="36">
        <v>0.80336476</v>
      </c>
      <c r="D32" s="19">
        <f t="shared" si="0"/>
        <v>0.04920061578947369</v>
      </c>
      <c r="G32" s="34">
        <v>80</v>
      </c>
      <c r="H32"/>
      <c r="I32" s="11">
        <f t="shared" si="1"/>
        <v>0</v>
      </c>
      <c r="L32" s="34">
        <v>1100</v>
      </c>
      <c r="M32" s="20"/>
      <c r="N32" s="20"/>
    </row>
    <row r="33" spans="2:14" ht="15">
      <c r="B33" s="37">
        <v>5</v>
      </c>
      <c r="C33" s="35">
        <v>0.89684593</v>
      </c>
      <c r="D33" s="19">
        <f t="shared" si="0"/>
        <v>0.01415291999999999</v>
      </c>
      <c r="G33" s="33">
        <v>90</v>
      </c>
      <c r="H33"/>
      <c r="I33" s="11">
        <f t="shared" si="1"/>
        <v>0</v>
      </c>
      <c r="L33" s="34">
        <v>1200</v>
      </c>
      <c r="M33" s="20"/>
      <c r="N33" s="20"/>
    </row>
    <row r="34" spans="2:14" ht="15">
      <c r="B34" s="36">
        <v>10</v>
      </c>
      <c r="C34" s="36">
        <v>0.96761053</v>
      </c>
      <c r="D34" s="19">
        <f t="shared" si="0"/>
        <v>0.003979763333333349</v>
      </c>
      <c r="G34" s="34">
        <v>100</v>
      </c>
      <c r="H34"/>
      <c r="I34" s="11">
        <f t="shared" si="1"/>
        <v>0</v>
      </c>
      <c r="L34" s="34">
        <v>1300</v>
      </c>
      <c r="M34" s="20"/>
      <c r="N34" s="20"/>
    </row>
    <row r="35" spans="2:14" ht="15">
      <c r="B35" s="36">
        <v>13</v>
      </c>
      <c r="C35" s="36">
        <v>0.97954982</v>
      </c>
      <c r="D35" s="19">
        <f t="shared" si="0"/>
        <v>0.0024008549999999795</v>
      </c>
      <c r="G35" s="34">
        <v>125</v>
      </c>
      <c r="H35"/>
      <c r="I35" s="11">
        <f t="shared" si="1"/>
        <v>0</v>
      </c>
      <c r="L35" s="34">
        <v>1400</v>
      </c>
      <c r="M35" s="20"/>
      <c r="N35" s="20"/>
    </row>
    <row r="36" spans="2:14" ht="15">
      <c r="B36" s="36">
        <v>15</v>
      </c>
      <c r="C36" s="36">
        <v>0.98435153</v>
      </c>
      <c r="D36" s="19">
        <f t="shared" si="0"/>
        <v>0.0015279033333333396</v>
      </c>
      <c r="G36" s="33">
        <v>150</v>
      </c>
      <c r="H36"/>
      <c r="I36" s="11">
        <f t="shared" si="1"/>
        <v>0</v>
      </c>
      <c r="L36" s="34">
        <v>1500</v>
      </c>
      <c r="M36" s="20"/>
      <c r="N36" s="20"/>
    </row>
    <row r="37" spans="2:14" ht="15">
      <c r="B37" s="36">
        <v>18</v>
      </c>
      <c r="C37" s="36">
        <v>0.98893524</v>
      </c>
      <c r="D37" s="19">
        <f t="shared" si="0"/>
        <v>0.0010148600000000063</v>
      </c>
      <c r="G37" s="34">
        <v>200</v>
      </c>
      <c r="H37"/>
      <c r="I37" s="11">
        <f t="shared" si="1"/>
        <v>0</v>
      </c>
      <c r="L37" s="34">
        <v>1600</v>
      </c>
      <c r="M37" s="20"/>
      <c r="N37" s="20"/>
    </row>
    <row r="38" spans="2:14" ht="15">
      <c r="B38" s="36">
        <v>20</v>
      </c>
      <c r="C38" s="36">
        <v>0.99096496</v>
      </c>
      <c r="D38" s="19">
        <f t="shared" si="0"/>
        <v>0.0007148733333333471</v>
      </c>
      <c r="G38" s="34">
        <v>300</v>
      </c>
      <c r="H38"/>
      <c r="I38" s="11">
        <f>(H39-H38)/(G39-G38)</f>
        <v>0</v>
      </c>
      <c r="L38" s="34">
        <v>1700</v>
      </c>
      <c r="M38" s="20"/>
      <c r="N38" s="20"/>
    </row>
    <row r="39" spans="2:14" ht="15">
      <c r="B39" s="36">
        <v>23</v>
      </c>
      <c r="C39" s="36">
        <v>0.99310958</v>
      </c>
      <c r="D39" s="19">
        <f t="shared" si="0"/>
        <v>0.0005171649999999861</v>
      </c>
      <c r="G39" s="33">
        <v>400</v>
      </c>
      <c r="H39"/>
      <c r="I39" s="11">
        <f aca="true" t="shared" si="2" ref="I39:I61">(H40-H39)/(G40-G39)</f>
        <v>0</v>
      </c>
      <c r="L39" s="34">
        <v>1800</v>
      </c>
      <c r="M39" s="20"/>
      <c r="N39" s="20"/>
    </row>
    <row r="40" spans="2:14" ht="15">
      <c r="B40" s="36">
        <v>25</v>
      </c>
      <c r="C40" s="36">
        <v>0.99414391</v>
      </c>
      <c r="D40" s="19">
        <f t="shared" si="0"/>
        <v>0.00038869000000000636</v>
      </c>
      <c r="G40" s="34">
        <v>600</v>
      </c>
      <c r="H40"/>
      <c r="I40" s="11">
        <f t="shared" si="2"/>
        <v>0</v>
      </c>
      <c r="L40" s="34">
        <v>1900</v>
      </c>
      <c r="M40" s="20"/>
      <c r="N40" s="20"/>
    </row>
    <row r="41" spans="2:14" ht="15">
      <c r="B41" s="36">
        <v>28</v>
      </c>
      <c r="C41" s="36">
        <v>0.99530998</v>
      </c>
      <c r="D41" s="19">
        <f t="shared" si="0"/>
        <v>0.0002836766666666583</v>
      </c>
      <c r="G41" s="34">
        <v>1500</v>
      </c>
      <c r="H41"/>
      <c r="I41" s="11">
        <f t="shared" si="2"/>
        <v>0</v>
      </c>
      <c r="L41" s="34">
        <v>2000</v>
      </c>
      <c r="M41" s="20"/>
      <c r="N41" s="20"/>
    </row>
    <row r="42" spans="2:14" ht="15">
      <c r="B42" s="36">
        <v>31</v>
      </c>
      <c r="C42" s="36">
        <v>0.99616101</v>
      </c>
      <c r="D42" s="19">
        <f t="shared" si="0"/>
        <v>0.0002132173333333117</v>
      </c>
      <c r="G42" s="34">
        <v>2000</v>
      </c>
      <c r="H42"/>
      <c r="I42" s="11">
        <f t="shared" si="2"/>
        <v>0</v>
      </c>
      <c r="L42" s="34">
        <v>2100</v>
      </c>
      <c r="M42" s="20"/>
      <c r="N42" s="20"/>
    </row>
    <row r="43" spans="2:14" ht="15">
      <c r="B43" s="36">
        <v>34</v>
      </c>
      <c r="C43" s="36">
        <v>0.996800662</v>
      </c>
      <c r="D43" s="19">
        <f t="shared" si="0"/>
        <v>0.00016418266666669754</v>
      </c>
      <c r="G43" s="34">
        <v>2500</v>
      </c>
      <c r="H43"/>
      <c r="I43" s="11">
        <f t="shared" si="2"/>
        <v>0</v>
      </c>
      <c r="L43" s="34">
        <v>2200</v>
      </c>
      <c r="M43" s="20"/>
      <c r="N43" s="20"/>
    </row>
    <row r="44" spans="2:14" ht="15">
      <c r="B44" s="36">
        <v>37</v>
      </c>
      <c r="C44" s="36">
        <v>0.99729321</v>
      </c>
      <c r="D44" s="19">
        <f t="shared" si="0"/>
        <v>0.0001290866666666668</v>
      </c>
      <c r="G44" s="34">
        <v>3000</v>
      </c>
      <c r="H44"/>
      <c r="I44" s="11">
        <f t="shared" si="2"/>
        <v>0</v>
      </c>
      <c r="L44" s="34">
        <v>2300</v>
      </c>
      <c r="M44" s="20"/>
      <c r="N44" s="20"/>
    </row>
    <row r="45" spans="2:14" ht="15">
      <c r="B45" s="36">
        <v>40</v>
      </c>
      <c r="C45" s="36">
        <v>0.99768047</v>
      </c>
      <c r="D45" s="19">
        <f t="shared" si="0"/>
        <v>0.00010017999999996825</v>
      </c>
      <c r="G45" s="34">
        <v>3500</v>
      </c>
      <c r="H45"/>
      <c r="I45" s="11">
        <f t="shared" si="2"/>
        <v>0</v>
      </c>
      <c r="L45" s="34">
        <v>2400</v>
      </c>
      <c r="M45" s="20"/>
      <c r="N45" s="20"/>
    </row>
    <row r="46" spans="2:14" ht="15">
      <c r="B46" s="36">
        <v>43</v>
      </c>
      <c r="C46" s="36">
        <v>0.99798101</v>
      </c>
      <c r="D46" s="19">
        <f t="shared" si="0"/>
        <v>8.700000000002224E-05</v>
      </c>
      <c r="G46" s="34">
        <v>4000</v>
      </c>
      <c r="H46"/>
      <c r="I46" s="11">
        <f t="shared" si="2"/>
        <v>0</v>
      </c>
      <c r="L46" s="34">
        <v>2500</v>
      </c>
      <c r="M46" s="20"/>
      <c r="N46" s="20"/>
    </row>
    <row r="47" spans="2:14" ht="15">
      <c r="B47" s="36">
        <v>46</v>
      </c>
      <c r="C47" s="36">
        <v>0.99824201</v>
      </c>
      <c r="D47" s="19">
        <f t="shared" si="0"/>
        <v>6.906666666665433E-05</v>
      </c>
      <c r="G47" s="34">
        <v>5000</v>
      </c>
      <c r="H47"/>
      <c r="I47" s="11">
        <f t="shared" si="2"/>
        <v>0</v>
      </c>
      <c r="L47" s="34">
        <v>2600</v>
      </c>
      <c r="M47" s="20"/>
      <c r="N47" s="20"/>
    </row>
    <row r="48" spans="2:14" ht="15">
      <c r="B48" s="36">
        <v>49</v>
      </c>
      <c r="C48" s="36">
        <v>0.99844921</v>
      </c>
      <c r="D48" s="19">
        <f t="shared" si="0"/>
        <v>5.752666666665925E-05</v>
      </c>
      <c r="G48" s="34">
        <v>6000</v>
      </c>
      <c r="H48"/>
      <c r="I48" s="11">
        <f t="shared" si="2"/>
        <v>0</v>
      </c>
      <c r="L48" s="34">
        <v>2700</v>
      </c>
      <c r="M48" s="20"/>
      <c r="N48" s="20"/>
    </row>
    <row r="49" spans="2:14" ht="15">
      <c r="B49" s="36">
        <v>52</v>
      </c>
      <c r="C49" s="36">
        <v>0.99862179</v>
      </c>
      <c r="D49" s="19">
        <f t="shared" si="0"/>
        <v>4.841333333334882E-05</v>
      </c>
      <c r="G49" s="34">
        <v>7000</v>
      </c>
      <c r="H49"/>
      <c r="I49" s="11">
        <f t="shared" si="2"/>
        <v>0</v>
      </c>
      <c r="L49" s="34">
        <v>2800</v>
      </c>
      <c r="M49" s="20"/>
      <c r="N49" s="20"/>
    </row>
    <row r="50" spans="2:14" ht="15">
      <c r="B50" s="36">
        <v>55</v>
      </c>
      <c r="C50" s="36">
        <v>0.99876703</v>
      </c>
      <c r="D50" s="19">
        <f t="shared" si="0"/>
        <v>4.1120000000005597E-05</v>
      </c>
      <c r="G50" s="34">
        <v>8000</v>
      </c>
      <c r="H50"/>
      <c r="I50" s="11">
        <f t="shared" si="2"/>
        <v>0</v>
      </c>
      <c r="L50" s="34">
        <v>2900</v>
      </c>
      <c r="M50" s="20"/>
      <c r="N50" s="20"/>
    </row>
    <row r="51" spans="2:14" ht="15">
      <c r="B51" s="36">
        <v>58</v>
      </c>
      <c r="C51" s="36">
        <v>0.99889039</v>
      </c>
      <c r="D51" s="19">
        <f t="shared" si="0"/>
        <v>3.521666666665239E-05</v>
      </c>
      <c r="G51" s="34">
        <v>9000</v>
      </c>
      <c r="H51"/>
      <c r="I51" s="11">
        <f t="shared" si="2"/>
        <v>0</v>
      </c>
      <c r="L51" s="34">
        <v>3000</v>
      </c>
      <c r="M51" s="20"/>
      <c r="N51" s="20"/>
    </row>
    <row r="52" spans="2:14" ht="15">
      <c r="B52" s="36">
        <v>61</v>
      </c>
      <c r="C52" s="36">
        <v>0.99899604</v>
      </c>
      <c r="D52" s="19">
        <f t="shared" si="0"/>
        <v>3.0393333333359845E-05</v>
      </c>
      <c r="G52" s="34">
        <v>10000</v>
      </c>
      <c r="H52"/>
      <c r="I52" s="11">
        <f t="shared" si="2"/>
        <v>0</v>
      </c>
      <c r="L52" s="34">
        <v>4000</v>
      </c>
      <c r="M52" s="20"/>
      <c r="N52" s="20"/>
    </row>
    <row r="53" spans="2:14" ht="15">
      <c r="B53" s="36">
        <v>64</v>
      </c>
      <c r="C53" s="36">
        <v>0.99908722</v>
      </c>
      <c r="D53" s="19">
        <f t="shared" si="0"/>
        <v>2.392333333330517E-05</v>
      </c>
      <c r="G53" s="34">
        <v>11000</v>
      </c>
      <c r="H53"/>
      <c r="I53" s="11">
        <f t="shared" si="2"/>
        <v>0</v>
      </c>
      <c r="L53" s="34">
        <v>5000</v>
      </c>
      <c r="M53" s="20"/>
      <c r="N53" s="20"/>
    </row>
    <row r="54" spans="2:14" ht="15">
      <c r="B54" s="36">
        <v>67</v>
      </c>
      <c r="C54" s="36">
        <v>0.99915899</v>
      </c>
      <c r="D54" s="19">
        <f t="shared" si="0"/>
        <v>2.556666666668021E-05</v>
      </c>
      <c r="G54" s="34">
        <v>12000</v>
      </c>
      <c r="H54"/>
      <c r="I54" s="11">
        <f t="shared" si="2"/>
        <v>0</v>
      </c>
      <c r="L54" s="34">
        <v>6000</v>
      </c>
      <c r="M54" s="20"/>
      <c r="N54" s="20"/>
    </row>
    <row r="55" spans="2:14" ht="15">
      <c r="B55" s="36">
        <v>70</v>
      </c>
      <c r="C55" s="36">
        <v>0.99923569</v>
      </c>
      <c r="D55" s="19">
        <f t="shared" si="0"/>
        <v>2.029666666666004E-05</v>
      </c>
      <c r="G55" s="34">
        <v>13000</v>
      </c>
      <c r="H55"/>
      <c r="I55" s="11">
        <f t="shared" si="2"/>
        <v>0</v>
      </c>
      <c r="L55" s="34">
        <v>7000</v>
      </c>
      <c r="M55" s="20"/>
      <c r="N55" s="20"/>
    </row>
    <row r="56" spans="2:14" ht="15">
      <c r="B56" s="36">
        <v>73</v>
      </c>
      <c r="C56" s="36">
        <v>0.99929658</v>
      </c>
      <c r="D56" s="19">
        <f t="shared" si="0"/>
        <v>1.7943333333344153E-05</v>
      </c>
      <c r="G56" s="34">
        <v>14000</v>
      </c>
      <c r="H56"/>
      <c r="I56" s="11">
        <f t="shared" si="2"/>
        <v>0</v>
      </c>
      <c r="L56" s="34">
        <v>8000</v>
      </c>
      <c r="M56" s="20"/>
      <c r="N56" s="20"/>
    </row>
    <row r="57" spans="2:14" ht="15">
      <c r="B57" s="36">
        <v>76</v>
      </c>
      <c r="C57" s="36">
        <v>0.99935041</v>
      </c>
      <c r="D57" s="19">
        <f t="shared" si="0"/>
        <v>1.593333333331041E-05</v>
      </c>
      <c r="G57" s="34">
        <v>15000</v>
      </c>
      <c r="H57"/>
      <c r="I57" s="11">
        <f t="shared" si="2"/>
        <v>0</v>
      </c>
      <c r="L57" s="34">
        <v>9000</v>
      </c>
      <c r="M57" s="20"/>
      <c r="N57" s="20"/>
    </row>
    <row r="58" spans="2:14" ht="15">
      <c r="B58" s="36">
        <v>79</v>
      </c>
      <c r="C58" s="36">
        <v>0.99939821</v>
      </c>
      <c r="D58" s="19">
        <f t="shared" si="0"/>
        <v>1.4216666666677646E-05</v>
      </c>
      <c r="G58" s="34">
        <v>16000</v>
      </c>
      <c r="H58"/>
      <c r="I58" s="11">
        <f t="shared" si="2"/>
        <v>0</v>
      </c>
      <c r="L58" s="34">
        <v>10000</v>
      </c>
      <c r="M58" s="20"/>
      <c r="N58" s="20"/>
    </row>
    <row r="59" spans="2:14" ht="15">
      <c r="B59" s="36">
        <v>82</v>
      </c>
      <c r="C59" s="36">
        <v>0.99944086</v>
      </c>
      <c r="D59" s="19">
        <f t="shared" si="0"/>
        <v>1.2736666666679497E-05</v>
      </c>
      <c r="G59" s="34">
        <v>17000</v>
      </c>
      <c r="H59"/>
      <c r="I59" s="11">
        <f t="shared" si="2"/>
        <v>0</v>
      </c>
      <c r="L59" s="34">
        <v>11000</v>
      </c>
      <c r="M59" s="20"/>
      <c r="N59" s="20"/>
    </row>
    <row r="60" spans="2:14" ht="15">
      <c r="B60" s="36">
        <v>85</v>
      </c>
      <c r="C60" s="36">
        <v>0.99947907</v>
      </c>
      <c r="D60" s="19">
        <f t="shared" si="0"/>
        <v>1.0894999999992253E-05</v>
      </c>
      <c r="G60" s="34">
        <v>18000</v>
      </c>
      <c r="H60"/>
      <c r="I60" s="11">
        <f t="shared" si="2"/>
        <v>0</v>
      </c>
      <c r="L60" s="34">
        <v>12000</v>
      </c>
      <c r="M60" s="20"/>
      <c r="N60" s="20"/>
    </row>
    <row r="61" spans="2:14" ht="15">
      <c r="B61" s="36">
        <v>91</v>
      </c>
      <c r="C61" s="36">
        <v>0.99954444</v>
      </c>
      <c r="D61" s="19">
        <f t="shared" si="0"/>
        <v>8.525274725277096E-06</v>
      </c>
      <c r="G61" s="34">
        <v>19000</v>
      </c>
      <c r="H61"/>
      <c r="I61" s="11">
        <f t="shared" si="2"/>
        <v>0</v>
      </c>
      <c r="L61" s="34">
        <v>13000</v>
      </c>
      <c r="M61" s="20"/>
      <c r="N61" s="20"/>
    </row>
    <row r="62" spans="2:14" ht="15">
      <c r="B62" s="36">
        <v>100.1</v>
      </c>
      <c r="C62" s="36">
        <v>0.99962202</v>
      </c>
      <c r="D62" s="19">
        <v>0</v>
      </c>
      <c r="G62" s="79">
        <v>60000</v>
      </c>
      <c r="H62"/>
      <c r="L62" s="34">
        <v>50000</v>
      </c>
      <c r="M62" s="20"/>
      <c r="N62" s="20"/>
    </row>
    <row r="63" ht="15">
      <c r="A63" s="66" t="s">
        <v>284</v>
      </c>
    </row>
    <row r="64" spans="1:7" ht="16.5" customHeight="1">
      <c r="A64" s="12" t="s">
        <v>13</v>
      </c>
      <c r="B64" s="12" t="s">
        <v>1</v>
      </c>
      <c r="C64" s="12" t="s">
        <v>2</v>
      </c>
      <c r="D64" s="12" t="s">
        <v>8</v>
      </c>
      <c r="E64" s="12" t="s">
        <v>1</v>
      </c>
      <c r="F64" s="12" t="s">
        <v>2</v>
      </c>
      <c r="G64" s="12" t="s">
        <v>8</v>
      </c>
    </row>
    <row r="65" spans="1:4" ht="15" customHeight="1">
      <c r="A65" s="18" t="s">
        <v>15</v>
      </c>
      <c r="B65" s="54">
        <v>1898</v>
      </c>
      <c r="C65" s="11" t="s">
        <v>5</v>
      </c>
      <c r="D65" s="11" t="s">
        <v>155</v>
      </c>
    </row>
    <row r="66" spans="1:3" ht="15" customHeight="1">
      <c r="A66" s="18" t="s">
        <v>16</v>
      </c>
      <c r="B66" s="54">
        <v>0</v>
      </c>
      <c r="C66" s="11" t="s">
        <v>5</v>
      </c>
    </row>
    <row r="67" spans="1:4" ht="15" customHeight="1">
      <c r="A67" s="78" t="s">
        <v>240</v>
      </c>
      <c r="B67" s="54">
        <v>0</v>
      </c>
      <c r="C67" s="11" t="s">
        <v>17</v>
      </c>
      <c r="D67" s="11" t="s">
        <v>241</v>
      </c>
    </row>
    <row r="68" spans="1:4" ht="15" customHeight="1">
      <c r="A68" s="78" t="s">
        <v>239</v>
      </c>
      <c r="B68" s="54">
        <v>0</v>
      </c>
      <c r="C68" s="11" t="s">
        <v>17</v>
      </c>
      <c r="D68" s="11" t="s">
        <v>242</v>
      </c>
    </row>
    <row r="69" spans="1:7" ht="30.75" customHeight="1">
      <c r="A69" s="18" t="s">
        <v>194</v>
      </c>
      <c r="B69" s="54">
        <v>85</v>
      </c>
      <c r="C69" s="11" t="s">
        <v>14</v>
      </c>
      <c r="D69" s="97" t="s">
        <v>304</v>
      </c>
      <c r="E69" s="11">
        <f>G5*B69</f>
        <v>1.4835298641951802</v>
      </c>
      <c r="F69" s="11" t="s">
        <v>31</v>
      </c>
      <c r="G69" s="11" t="s">
        <v>258</v>
      </c>
    </row>
    <row r="70" spans="1:4" ht="30.75" customHeight="1">
      <c r="A70" s="78" t="s">
        <v>317</v>
      </c>
      <c r="B70" s="54">
        <v>12</v>
      </c>
      <c r="C70" s="11" t="s">
        <v>5</v>
      </c>
      <c r="D70" s="97" t="s">
        <v>305</v>
      </c>
    </row>
    <row r="71" spans="1:4" ht="15" customHeight="1">
      <c r="A71" s="78" t="s">
        <v>243</v>
      </c>
      <c r="B71" s="54">
        <v>350</v>
      </c>
      <c r="C71" s="11" t="s">
        <v>5</v>
      </c>
      <c r="D71" s="11" t="s">
        <v>154</v>
      </c>
    </row>
    <row r="72" spans="1:8" ht="15" customHeight="1">
      <c r="A72" s="78" t="s">
        <v>259</v>
      </c>
      <c r="B72" s="54">
        <v>1898</v>
      </c>
      <c r="C72" s="11" t="s">
        <v>5</v>
      </c>
      <c r="D72" s="81" t="s">
        <v>291</v>
      </c>
      <c r="H72" s="104"/>
    </row>
    <row r="73" spans="1:3" ht="15" customHeight="1">
      <c r="A73" s="78" t="s">
        <v>207</v>
      </c>
      <c r="B73" s="54">
        <v>0</v>
      </c>
      <c r="C73" s="11" t="s">
        <v>14</v>
      </c>
    </row>
    <row r="74" spans="1:4" ht="15" customHeight="1">
      <c r="A74" s="18" t="s">
        <v>20</v>
      </c>
      <c r="B74" s="54">
        <v>34</v>
      </c>
      <c r="C74" s="11" t="s">
        <v>14</v>
      </c>
      <c r="D74" s="11" t="s">
        <v>156</v>
      </c>
    </row>
    <row r="75" spans="1:4" ht="15" customHeight="1">
      <c r="A75" s="78" t="s">
        <v>266</v>
      </c>
      <c r="B75" s="19">
        <f>2*PI()/B71</f>
        <v>0.017951958020513102</v>
      </c>
      <c r="C75" s="11" t="s">
        <v>30</v>
      </c>
      <c r="D75" s="105" t="s">
        <v>157</v>
      </c>
    </row>
    <row r="76" spans="1:10" ht="15" customHeight="1">
      <c r="A76" s="18" t="s">
        <v>33</v>
      </c>
      <c r="B76" s="19">
        <f>32.0876228*(1+0.00530224*(SIN(B74*G5))^2-0.000058*(SIN(2*B74*G5))^2)</f>
        <v>32.13922393668189</v>
      </c>
      <c r="C76" s="11" t="s">
        <v>34</v>
      </c>
      <c r="D76" s="11" t="s">
        <v>158</v>
      </c>
      <c r="E76" s="106" t="s">
        <v>159</v>
      </c>
      <c r="J76" s="25"/>
    </row>
    <row r="77" spans="1:13" ht="15" customHeight="1">
      <c r="A77" s="18" t="s">
        <v>108</v>
      </c>
      <c r="B77" s="19">
        <f>SQRT(((B15^2*COS(B75*B74))^2+(B16^2*SIN(B75*B74))^2)/((B15*COS(B75*B74))^2+(B16*SIN(B75*B74))^2))</f>
        <v>20902678.394044157</v>
      </c>
      <c r="C77" s="11" t="s">
        <v>5</v>
      </c>
      <c r="E77" s="106"/>
      <c r="J77" s="17"/>
      <c r="K77" s="17"/>
      <c r="L77" s="17"/>
      <c r="M77" s="17"/>
    </row>
    <row r="78" spans="1:13" ht="15" customHeight="1">
      <c r="A78" s="78" t="s">
        <v>153</v>
      </c>
      <c r="B78" s="19">
        <f>0.140365*EXP(SQRT(2*PI()*B75*B70)-0.387621*(B75*B70)^1.2)/B75</f>
        <v>23.536205079543013</v>
      </c>
      <c r="C78" s="11" t="s">
        <v>5</v>
      </c>
      <c r="E78" s="106"/>
      <c r="J78" s="17"/>
      <c r="K78" s="17"/>
      <c r="L78" s="17"/>
      <c r="M78" s="17"/>
    </row>
    <row r="79" spans="5:13" ht="15" customHeight="1">
      <c r="E79" s="106"/>
      <c r="J79" s="17"/>
      <c r="K79" s="17"/>
      <c r="L79" s="17"/>
      <c r="M79" s="17"/>
    </row>
    <row r="80" spans="1:6" ht="15" customHeight="1">
      <c r="A80" s="109" t="s">
        <v>315</v>
      </c>
      <c r="B80" s="108"/>
      <c r="C80" s="108"/>
      <c r="F80" s="84"/>
    </row>
    <row r="81" spans="1:14" ht="18">
      <c r="A81" s="38" t="s">
        <v>70</v>
      </c>
      <c r="B81" s="38" t="s">
        <v>71</v>
      </c>
      <c r="C81" s="80" t="s">
        <v>261</v>
      </c>
      <c r="D81" s="80" t="s">
        <v>262</v>
      </c>
      <c r="E81" s="80" t="s">
        <v>260</v>
      </c>
      <c r="F81" s="85" t="s">
        <v>263</v>
      </c>
      <c r="K81" s="17"/>
      <c r="L81" s="17"/>
      <c r="M81" s="17"/>
      <c r="N81" s="17"/>
    </row>
    <row r="82" spans="1:14" ht="15">
      <c r="A82" s="94" t="s">
        <v>257</v>
      </c>
      <c r="B82" s="20" t="b">
        <v>0</v>
      </c>
      <c r="C82" s="20">
        <v>1</v>
      </c>
      <c r="D82" s="19" t="b">
        <f>IF(AND(B82=TRUE,B84=FALSE),0,FALSE)</f>
        <v>0</v>
      </c>
      <c r="E82" s="19" t="b">
        <f>IF(B82=TRUE,IF(AND(B83=FALSE,B85=FALSE,B93=FALSE),D82+C82,D82+C82),FALSE)</f>
        <v>0</v>
      </c>
      <c r="F82" s="86">
        <f>IF(OR(AND(B82=TRUE,B84=TRUE),AND(B82=FALSE,B84=FALSE)),"ERROR",IF(B82=TRUE,"OK",""))</f>
      </c>
      <c r="M82" s="17"/>
      <c r="N82" s="17"/>
    </row>
    <row r="83" spans="1:14" ht="15">
      <c r="A83" s="78" t="s">
        <v>267</v>
      </c>
      <c r="B83" s="20" t="b">
        <v>0</v>
      </c>
      <c r="C83" s="20">
        <v>10</v>
      </c>
      <c r="D83" s="19" t="b">
        <f>IF(AND(B82=TRUE,B83=TRUE),E82,FALSE)</f>
        <v>0</v>
      </c>
      <c r="E83" s="19" t="b">
        <f>IF(AND(B82=TRUE,B83=TRUE),IF(B85=FALSE,D83+C83,D83+C83),FALSE)</f>
        <v>0</v>
      </c>
      <c r="F83" s="86">
        <f>IF(B83=TRUE,IF(B82=FALSE,"ERROR","OK"),"")</f>
      </c>
      <c r="M83" s="17"/>
      <c r="N83" s="17"/>
    </row>
    <row r="84" spans="1:14" ht="15">
      <c r="A84" s="94" t="s">
        <v>256</v>
      </c>
      <c r="B84" s="20" t="b">
        <v>1</v>
      </c>
      <c r="C84" s="83" t="str">
        <f>IF(B84=TRUE,"C85 for 1st stage total burn time","")</f>
        <v>C85 for 1st stage total burn time</v>
      </c>
      <c r="D84" s="19">
        <f>IF(AND(B82=FALSE,B84=TRUE),0,FALSE)</f>
        <v>0</v>
      </c>
      <c r="E84" s="19"/>
      <c r="F84" s="86" t="str">
        <f>IF(OR(AND(B82=TRUE,B84=TRUE),AND(B82=FALSE,B84=FALSE)),"ERROR",IF(B84=TRUE,"OK",""))</f>
        <v>OK</v>
      </c>
      <c r="M84" s="17"/>
      <c r="N84" s="17"/>
    </row>
    <row r="85" spans="1:14" ht="15">
      <c r="A85" s="78" t="s">
        <v>264</v>
      </c>
      <c r="B85" s="20" t="b">
        <v>1</v>
      </c>
      <c r="C85" s="20">
        <v>7.08</v>
      </c>
      <c r="D85" s="19">
        <f>IF(AND(B85=TRUE,B82=TRUE,B83=TRUE),E83,IF(AND(B85=TRUE,B82=TRUE),E82,IF(AND(B85=TRUE,B84=TRUE),D84,FALSE)))</f>
        <v>0</v>
      </c>
      <c r="E85" s="19">
        <f>IF(B85=TRUE,D85+C85,FALSE)</f>
        <v>7.08</v>
      </c>
      <c r="F85" s="86" t="str">
        <f>IF(AND(B85=FALSE,B84=TRUE),"ERROR",IF(B85=TRUE,"OK",""))</f>
        <v>OK</v>
      </c>
      <c r="M85" s="17"/>
      <c r="N85" s="17"/>
    </row>
    <row r="86" spans="1:14" ht="15">
      <c r="A86" s="78" t="s">
        <v>255</v>
      </c>
      <c r="B86" s="20" t="b">
        <v>1</v>
      </c>
      <c r="C86" s="20">
        <v>9999</v>
      </c>
      <c r="D86" s="19">
        <f>IF(B86=TRUE,E85,FALSE)</f>
        <v>7.08</v>
      </c>
      <c r="E86" s="19">
        <f>IF(B86=TRUE,IF(AND(B87=FALSE,B88=FALSE,B93=FALSE,B94=FALSE),D86+C86,D86+C86),FALSE)</f>
        <v>10006.08</v>
      </c>
      <c r="F86" s="86" t="str">
        <f>IF(B86=TRUE,IF(B85=TRUE,"OK","ERROR"),IF(B85=TRUE,IF(AND(B87=FALSE,B88=FALSE),"ERROR",""),""))</f>
        <v>OK</v>
      </c>
      <c r="M86" s="17"/>
      <c r="N86" s="17"/>
    </row>
    <row r="87" spans="1:14" ht="15">
      <c r="A87" s="78" t="s">
        <v>254</v>
      </c>
      <c r="B87" s="20" t="b">
        <v>0</v>
      </c>
      <c r="C87" s="20">
        <v>3</v>
      </c>
      <c r="D87" s="19" t="b">
        <f>IF(AND(B87=TRUE,B85=TRUE,B86=TRUE),E86,IF(AND(B87=TRUE,B85=TRUE,B86=FALSE),E85,FALSE))</f>
        <v>0</v>
      </c>
      <c r="E87" s="19" t="b">
        <f>IF(B87=TRUE,IF(AND(B88=FALSE,B93=FALSE,B94=FALSE),D87+C87,D87+C87),FALSE)</f>
        <v>0</v>
      </c>
      <c r="F87" s="86">
        <f>IF(B87=TRUE,IF(B85=FALSE,"ERROR","OK"),"")</f>
      </c>
      <c r="M87" s="17"/>
      <c r="N87" s="17"/>
    </row>
    <row r="88" spans="1:14" ht="15">
      <c r="A88" s="78" t="s">
        <v>253</v>
      </c>
      <c r="B88" s="20" t="b">
        <v>0</v>
      </c>
      <c r="C88" s="20">
        <v>1.07</v>
      </c>
      <c r="D88" s="19" t="b">
        <f>IF(B88=TRUE,IF(B87=TRUE,E87,E86),FALSE)</f>
        <v>0</v>
      </c>
      <c r="E88" s="19" t="b">
        <f>IF(D88=FALSE,FALSE,D88+C88)</f>
        <v>0</v>
      </c>
      <c r="F88" s="86">
        <f>IF(B88=TRUE,IF(B85=TRUE,IF(AND(B86=FALSE,B87=FALSE),"ERROR","OK"),"ERROR"),"")</f>
      </c>
      <c r="M88" s="17"/>
      <c r="N88" s="17"/>
    </row>
    <row r="89" spans="1:6" ht="15">
      <c r="A89" s="78" t="s">
        <v>252</v>
      </c>
      <c r="B89" s="20" t="b">
        <v>0</v>
      </c>
      <c r="C89" s="20">
        <v>500</v>
      </c>
      <c r="D89" s="19" t="b">
        <f>IF(B89=TRUE,IF(B88=TRUE,E88,FALSE),FALSE)</f>
        <v>0</v>
      </c>
      <c r="E89" s="19" t="b">
        <f>IF(AND(B89=TRUE,B88=TRUE),IF(AND(B90=FALSE,B91=FALSE,B93=FALSE,B94=FALSE),D89+C89,D89+C89),FALSE)</f>
        <v>0</v>
      </c>
      <c r="F89" s="86">
        <f>IF(B89=TRUE,IF(B88=FALSE,"ERROR","OK"),IF(B88=TRUE,IF(AND(B91=FALSE,B90=FALSE),"ERROR",""),""))</f>
      </c>
    </row>
    <row r="90" spans="1:6" ht="15">
      <c r="A90" s="78" t="s">
        <v>251</v>
      </c>
      <c r="B90" s="20" t="b">
        <v>0</v>
      </c>
      <c r="C90" s="20">
        <v>0.6</v>
      </c>
      <c r="D90" s="19" t="b">
        <f>IF(B90=TRUE,IF(B89=TRUE,E89,E88),FALSE)</f>
        <v>0</v>
      </c>
      <c r="E90" s="19" t="b">
        <f>IF(B90=TRUE,IF(AND(B91=FALSE,B93=FALSE,B94=FALSE),D90+C90,D90+C90),FALSE)</f>
        <v>0</v>
      </c>
      <c r="F90" s="86">
        <f>IF(B90=TRUE,IF(B88=FALSE,"ERROR","OK"),"")</f>
      </c>
    </row>
    <row r="91" spans="1:6" ht="15">
      <c r="A91" s="78" t="s">
        <v>247</v>
      </c>
      <c r="B91" s="20" t="b">
        <v>0</v>
      </c>
      <c r="C91" s="20">
        <v>7</v>
      </c>
      <c r="D91" s="19" t="b">
        <f>IF(B91=TRUE,IF(B90=TRUE,E90,E89),FALSE)</f>
        <v>0</v>
      </c>
      <c r="E91" s="19" t="b">
        <f>IF(D91=FALSE,FALSE,D91+C91)</f>
        <v>0</v>
      </c>
      <c r="F91" s="86">
        <f>IF(B91=TRUE,IF(B88=FALSE,"ERROR",IF(AND(B89=FALSE,B90=FALSE),"ERROR","OK")),"")</f>
      </c>
    </row>
    <row r="92" spans="1:6" ht="15">
      <c r="A92" s="78" t="s">
        <v>248</v>
      </c>
      <c r="B92" s="20" t="b">
        <v>0</v>
      </c>
      <c r="C92" s="20">
        <v>20</v>
      </c>
      <c r="D92" s="19" t="b">
        <f>IF(B92=TRUE,IF(B91=TRUE,E91,FALSE),FALSE)</f>
        <v>0</v>
      </c>
      <c r="E92" s="19" t="b">
        <f>IF(AND(B92=TRUE,B91=TRUE),IF(AND(B93=FALSE,B94=FALSE),D92+C92,D92+C92),FALSE)</f>
        <v>0</v>
      </c>
      <c r="F92" s="86">
        <f>IF(B92=TRUE,IF(B91=FALSE,"ERROR","OK"),IF(B91=TRUE,"ERROR",""))</f>
      </c>
    </row>
    <row r="93" spans="1:6" ht="15">
      <c r="A93" s="78" t="s">
        <v>249</v>
      </c>
      <c r="B93" s="20" t="b">
        <v>0</v>
      </c>
      <c r="C93" s="20">
        <v>4</v>
      </c>
      <c r="D93" s="19" t="b">
        <f>IF(B93=FALSE,FALSE,IF(B92=TRUE,E92,IF(B90=TRUE,E90,IF(B89=TRUE,E89,IF(B87=TRUE,E87,IF(B86=TRUE,E86,IF(B82=TRUE,E82,FALSE)))))))</f>
        <v>0</v>
      </c>
      <c r="E93" s="19" t="b">
        <f>IF(B93=TRUE,IF(B94=TRUE,D93+C93,D93+C93),FALSE)</f>
        <v>0</v>
      </c>
      <c r="F93" s="86">
        <f>IF(B93=TRUE,IF(AND(B92=FALSE,B90=FALSE,B89=FALSE,B87=FALSE,B86=FALSE,B82=FALSE),"ERROR",IF(AND(B83=TRUE,B85=FALSE),"ERROR","OK")),"")</f>
      </c>
    </row>
    <row r="94" spans="1:6" ht="13.5" customHeight="1">
      <c r="A94" s="78" t="s">
        <v>250</v>
      </c>
      <c r="B94" s="20" t="b">
        <v>0</v>
      </c>
      <c r="C94" s="20">
        <v>999</v>
      </c>
      <c r="D94" s="19" t="b">
        <f>IF(B94=FALSE,FALSE,IF(B93=TRUE,E93,IF(B92=TRUE,E92,IF(B90=TRUE,E90,IF(B89=TRUE,E89,IF(B87=TRUE,E87,IF(B86=TRUE,E86,FALSE)))))))</f>
        <v>0</v>
      </c>
      <c r="E94" s="19" t="b">
        <f>IF(B94=TRUE,D94+C94,FALSE)</f>
        <v>0</v>
      </c>
      <c r="F94" s="86">
        <f>IF(B94=TRUE,IF(AND(B93=FALSE,B92=FALSE,B90=FALSE,B89=FALSE,B87=FALSE,B86=FALSE),"ERROR",IF(AND(B83=TRUE,B85=FALSE),"ERROR","OK")),"")</f>
      </c>
    </row>
    <row r="95" spans="1:6" ht="15">
      <c r="A95" s="39"/>
      <c r="F95" s="84"/>
    </row>
    <row r="96" spans="1:6" ht="15">
      <c r="A96" s="18" t="s">
        <v>22</v>
      </c>
      <c r="B96" s="20">
        <v>0.05</v>
      </c>
      <c r="C96" s="11" t="s">
        <v>19</v>
      </c>
      <c r="D96" s="11" t="s">
        <v>160</v>
      </c>
      <c r="F96" s="84"/>
    </row>
    <row r="97" spans="1:7" ht="15">
      <c r="A97" s="18" t="s">
        <v>22</v>
      </c>
      <c r="B97" s="20">
        <v>0.001</v>
      </c>
      <c r="C97" s="11" t="s">
        <v>19</v>
      </c>
      <c r="D97" s="11" t="s">
        <v>161</v>
      </c>
      <c r="G97" s="17"/>
    </row>
    <row r="98" spans="1:7" ht="15">
      <c r="A98" s="18" t="s">
        <v>22</v>
      </c>
      <c r="B98" s="20">
        <v>0.0005</v>
      </c>
      <c r="C98" s="11" t="s">
        <v>19</v>
      </c>
      <c r="D98" s="11" t="s">
        <v>162</v>
      </c>
      <c r="G98" s="17"/>
    </row>
    <row r="99" ht="15">
      <c r="G99" s="17"/>
    </row>
    <row r="100" spans="1:7" ht="15">
      <c r="A100" s="25" t="s">
        <v>18</v>
      </c>
      <c r="B100" s="41"/>
      <c r="E100" s="17"/>
      <c r="G100" s="17"/>
    </row>
    <row r="101" spans="1:7" ht="18">
      <c r="A101" s="18" t="s">
        <v>49</v>
      </c>
      <c r="B101" s="79" t="b">
        <f>D94</f>
        <v>0</v>
      </c>
      <c r="C101" s="11" t="s">
        <v>19</v>
      </c>
      <c r="D101" s="11" t="s">
        <v>191</v>
      </c>
      <c r="E101" s="42" t="s">
        <v>139</v>
      </c>
      <c r="F101" s="34">
        <v>0.89</v>
      </c>
      <c r="G101" s="17" t="s">
        <v>141</v>
      </c>
    </row>
    <row r="102" spans="1:7" ht="18">
      <c r="A102" s="18" t="s">
        <v>50</v>
      </c>
      <c r="B102" s="79" t="b">
        <f>D93</f>
        <v>0</v>
      </c>
      <c r="C102" s="11" t="s">
        <v>19</v>
      </c>
      <c r="D102" s="11" t="s">
        <v>192</v>
      </c>
      <c r="E102" s="42" t="s">
        <v>138</v>
      </c>
      <c r="F102" s="65">
        <f>0.25*PI()*B104^2</f>
        <v>78.53981633974483</v>
      </c>
      <c r="G102" s="17" t="s">
        <v>144</v>
      </c>
    </row>
    <row r="103" spans="1:7" ht="15">
      <c r="A103" s="21" t="s">
        <v>21</v>
      </c>
      <c r="B103" s="20">
        <v>2</v>
      </c>
      <c r="C103" s="11" t="s">
        <v>19</v>
      </c>
      <c r="D103" s="11" t="s">
        <v>193</v>
      </c>
      <c r="E103" s="42" t="s">
        <v>190</v>
      </c>
      <c r="F103" s="34">
        <v>0.87</v>
      </c>
      <c r="G103" s="11" t="s">
        <v>141</v>
      </c>
    </row>
    <row r="104" spans="1:7" ht="18">
      <c r="A104" s="18" t="s">
        <v>51</v>
      </c>
      <c r="B104" s="20">
        <v>10</v>
      </c>
      <c r="C104" s="11" t="s">
        <v>5</v>
      </c>
      <c r="D104" s="11" t="s">
        <v>186</v>
      </c>
      <c r="E104" s="42" t="s">
        <v>140</v>
      </c>
      <c r="F104" s="65">
        <f>0.25*PI()*B105^2</f>
        <v>7.0685834705770345</v>
      </c>
      <c r="G104" s="11" t="s">
        <v>144</v>
      </c>
    </row>
    <row r="105" spans="1:7" ht="18">
      <c r="A105" s="18" t="s">
        <v>52</v>
      </c>
      <c r="B105" s="20">
        <v>3</v>
      </c>
      <c r="C105" s="11" t="s">
        <v>5</v>
      </c>
      <c r="D105" s="11" t="s">
        <v>187</v>
      </c>
      <c r="E105" s="42" t="s">
        <v>142</v>
      </c>
      <c r="F105" s="65">
        <f>0.25*PI()*B106^2</f>
        <v>9.62112750161874</v>
      </c>
      <c r="G105" s="41" t="s">
        <v>144</v>
      </c>
    </row>
    <row r="106" spans="1:7" ht="15">
      <c r="A106" s="18" t="s">
        <v>129</v>
      </c>
      <c r="B106" s="20">
        <v>3.5</v>
      </c>
      <c r="C106" s="11" t="s">
        <v>5</v>
      </c>
      <c r="D106" s="11" t="s">
        <v>189</v>
      </c>
      <c r="E106" s="42" t="s">
        <v>143</v>
      </c>
      <c r="F106" s="34">
        <v>1</v>
      </c>
      <c r="G106" s="11" t="s">
        <v>141</v>
      </c>
    </row>
    <row r="107" spans="1:4" ht="15">
      <c r="A107" s="18" t="s">
        <v>130</v>
      </c>
      <c r="B107" s="79" t="b">
        <f>D83</f>
        <v>0</v>
      </c>
      <c r="C107" s="11" t="s">
        <v>19</v>
      </c>
      <c r="D107" s="11" t="s">
        <v>188</v>
      </c>
    </row>
    <row r="108" ht="15"/>
    <row r="109" ht="15">
      <c r="A109" s="25" t="s">
        <v>131</v>
      </c>
    </row>
    <row r="110" spans="1:8" ht="15">
      <c r="A110" s="12" t="s">
        <v>13</v>
      </c>
      <c r="B110" s="12" t="s">
        <v>1</v>
      </c>
      <c r="C110" s="12" t="s">
        <v>66</v>
      </c>
      <c r="D110" s="12" t="s">
        <v>2</v>
      </c>
      <c r="E110" s="12" t="s">
        <v>8</v>
      </c>
      <c r="G110" s="43"/>
      <c r="H110" s="44"/>
    </row>
    <row r="111" spans="1:8" ht="18">
      <c r="A111" s="42" t="s">
        <v>23</v>
      </c>
      <c r="B111" s="20">
        <v>10</v>
      </c>
      <c r="C111" s="19">
        <f>IF(B$84=TRUE,B111,IF(B82=TRUE,B111,0))</f>
        <v>10</v>
      </c>
      <c r="D111" s="19" t="s">
        <v>26</v>
      </c>
      <c r="E111" s="19" t="s">
        <v>163</v>
      </c>
      <c r="G111" s="41"/>
      <c r="H111" s="41"/>
    </row>
    <row r="112" spans="1:8" ht="18">
      <c r="A112" s="42" t="s">
        <v>25</v>
      </c>
      <c r="B112" s="20">
        <v>41</v>
      </c>
      <c r="C112" s="19">
        <f>IF(B$84=TRUE,B112,IF(B82=TRUE,B112,0))</f>
        <v>41</v>
      </c>
      <c r="D112" s="19" t="s">
        <v>26</v>
      </c>
      <c r="E112" s="19" t="s">
        <v>164</v>
      </c>
      <c r="G112" s="41"/>
      <c r="H112" s="41"/>
    </row>
    <row r="113" spans="1:8" ht="18">
      <c r="A113" s="42" t="s">
        <v>24</v>
      </c>
      <c r="B113" s="20">
        <v>10</v>
      </c>
      <c r="C113" s="19">
        <f>IF(OR(B$84=TRUE,B82=TRUE),IF(OR(B87=TRUE,B88=TRUE),0,B113),0)</f>
        <v>10</v>
      </c>
      <c r="D113" s="19" t="s">
        <v>26</v>
      </c>
      <c r="E113" s="19" t="s">
        <v>300</v>
      </c>
      <c r="G113" s="41"/>
      <c r="H113" s="41"/>
    </row>
    <row r="114" spans="1:8" ht="18">
      <c r="A114" s="42" t="s">
        <v>72</v>
      </c>
      <c r="B114" s="79">
        <f>C85</f>
        <v>7.08</v>
      </c>
      <c r="C114" s="19">
        <f>IF(B84=TRUE,B114,IF(B85=TRUE,B114,0))</f>
        <v>7.08</v>
      </c>
      <c r="D114" s="19" t="s">
        <v>19</v>
      </c>
      <c r="E114" s="19" t="s">
        <v>166</v>
      </c>
      <c r="G114" s="41"/>
      <c r="H114" s="41"/>
    </row>
    <row r="115" spans="1:8" ht="15">
      <c r="A115" s="42" t="s">
        <v>73</v>
      </c>
      <c r="B115" s="79">
        <f>IF(B85=TRUE,IF(B82=TRUE,IF(B83=TRUE,C83+C82,C82),0),FALSE)</f>
        <v>0</v>
      </c>
      <c r="C115" s="19" t="b">
        <f>IF(B82=TRUE,B115,FALSE)</f>
        <v>0</v>
      </c>
      <c r="D115" s="19" t="s">
        <v>19</v>
      </c>
      <c r="E115" s="19" t="s">
        <v>209</v>
      </c>
      <c r="G115" s="41"/>
      <c r="H115" s="41"/>
    </row>
    <row r="116" spans="1:10" ht="15">
      <c r="A116" s="42" t="s">
        <v>244</v>
      </c>
      <c r="B116" s="79" t="b">
        <f>IF(OR(B87=TRUE,B88=TRUE),IF(B86=TRUE,E86,E85),FALSE)</f>
        <v>0</v>
      </c>
      <c r="C116" s="19" t="b">
        <f>IF(AND(B86=TRUE,B87=TRUE),B116,FALSE)</f>
        <v>0</v>
      </c>
      <c r="D116" s="19" t="s">
        <v>19</v>
      </c>
      <c r="E116" s="19" t="s">
        <v>245</v>
      </c>
      <c r="F116" s="41"/>
      <c r="G116" s="41"/>
      <c r="H116" s="41"/>
      <c r="I116" s="41"/>
      <c r="J116" s="41"/>
    </row>
    <row r="117" spans="5:7" ht="15">
      <c r="E117" s="42" t="s">
        <v>136</v>
      </c>
      <c r="F117" s="34">
        <f>PI()*(6.25/12/2)^2</f>
        <v>0.21305288720633908</v>
      </c>
      <c r="G117" s="41" t="s">
        <v>144</v>
      </c>
    </row>
    <row r="118" spans="1:7" ht="15">
      <c r="A118" s="40" t="s">
        <v>54</v>
      </c>
      <c r="B118" s="103" t="s">
        <v>285</v>
      </c>
      <c r="C118" s="92" t="s">
        <v>287</v>
      </c>
      <c r="D118" s="93" t="b">
        <v>0</v>
      </c>
      <c r="E118" s="42" t="s">
        <v>135</v>
      </c>
      <c r="F118" s="34">
        <f>PI()*(6.25/12/2)^2</f>
        <v>0.21305288720633908</v>
      </c>
      <c r="G118" s="41" t="s">
        <v>144</v>
      </c>
    </row>
    <row r="119" spans="1:12" ht="15">
      <c r="A119" s="59" t="s">
        <v>115</v>
      </c>
      <c r="B119" s="59" t="s">
        <v>74</v>
      </c>
      <c r="C119" s="59" t="s">
        <v>286</v>
      </c>
      <c r="D119" s="59" t="s">
        <v>168</v>
      </c>
      <c r="E119" s="57" t="s">
        <v>55</v>
      </c>
      <c r="F119" s="42" t="s">
        <v>56</v>
      </c>
      <c r="G119" s="42" t="s">
        <v>57</v>
      </c>
      <c r="H119" s="42" t="s">
        <v>58</v>
      </c>
      <c r="I119" s="55"/>
      <c r="J119" s="46"/>
      <c r="K119" s="41"/>
      <c r="L119" s="41"/>
    </row>
    <row r="120" spans="1:12" ht="15">
      <c r="A120" s="47">
        <v>0</v>
      </c>
      <c r="B120" s="19">
        <f>IF(B82=TRUE,D85,D84)</f>
        <v>0</v>
      </c>
      <c r="C120" s="50">
        <v>0</v>
      </c>
      <c r="D120" s="19">
        <f>IF($D$118=TRUE,C120,IF(C120&gt;0,C120+B$12*B$244,0))</f>
        <v>0</v>
      </c>
      <c r="E120" s="58">
        <v>0</v>
      </c>
      <c r="F120" s="34">
        <v>0.6904</v>
      </c>
      <c r="G120" s="34">
        <v>0.004</v>
      </c>
      <c r="H120" s="19">
        <f>F120+G120*B$244/F$117</f>
        <v>0.6907135371732152</v>
      </c>
      <c r="I120" s="41"/>
      <c r="J120" s="41"/>
      <c r="K120" s="41"/>
      <c r="L120" s="41"/>
    </row>
    <row r="121" spans="1:12" ht="15">
      <c r="A121" s="34">
        <v>0.05</v>
      </c>
      <c r="B121" s="19">
        <f>B$120+A121</f>
        <v>0.05</v>
      </c>
      <c r="C121" s="50">
        <v>84.71826</v>
      </c>
      <c r="D121" s="19">
        <f aca="true" t="shared" si="3" ref="D121:D184">IF($D$118=TRUE,C121,IF(C121&gt;0,C121+B$12*B$244,0))</f>
        <v>120.0592843</v>
      </c>
      <c r="E121" s="58">
        <v>0.1</v>
      </c>
      <c r="F121" s="34">
        <v>0.4862</v>
      </c>
      <c r="G121" s="34">
        <v>0.0052</v>
      </c>
      <c r="H121" s="19">
        <f aca="true" t="shared" si="4" ref="H121:H134">F121+G121*B$244/F$117</f>
        <v>0.4866075983251797</v>
      </c>
      <c r="I121" s="41"/>
      <c r="J121" s="41"/>
      <c r="K121" s="41"/>
      <c r="L121" s="41"/>
    </row>
    <row r="122" spans="1:12" ht="15">
      <c r="A122" s="34">
        <v>0.1</v>
      </c>
      <c r="B122" s="19">
        <f aca="true" t="shared" si="5" ref="B122:B152">B$120+A122</f>
        <v>0.1</v>
      </c>
      <c r="C122" s="50">
        <v>169.4365</v>
      </c>
      <c r="D122" s="19">
        <f t="shared" si="3"/>
        <v>204.77752429999998</v>
      </c>
      <c r="E122" s="58">
        <v>0.2</v>
      </c>
      <c r="F122" s="34">
        <v>0.4619</v>
      </c>
      <c r="G122" s="34">
        <v>0.0055</v>
      </c>
      <c r="H122" s="19">
        <f t="shared" si="4"/>
        <v>0.4623311136131708</v>
      </c>
      <c r="I122" s="41"/>
      <c r="J122" s="41"/>
      <c r="K122" s="41"/>
      <c r="L122" s="41"/>
    </row>
    <row r="123" spans="1:12" ht="15">
      <c r="A123" s="34">
        <v>0.2</v>
      </c>
      <c r="B123" s="19">
        <f t="shared" si="5"/>
        <v>0.2</v>
      </c>
      <c r="C123" s="50">
        <v>338.873077</v>
      </c>
      <c r="D123" s="19">
        <f t="shared" si="3"/>
        <v>374.21410130000004</v>
      </c>
      <c r="E123" s="58">
        <v>0.3</v>
      </c>
      <c r="F123" s="34">
        <v>0.4477</v>
      </c>
      <c r="G123" s="34">
        <v>0.0057</v>
      </c>
      <c r="H123" s="19">
        <f t="shared" si="4"/>
        <v>0.4481467904718316</v>
      </c>
      <c r="I123" s="41"/>
      <c r="J123" s="41"/>
      <c r="K123" s="41"/>
      <c r="L123" s="41"/>
    </row>
    <row r="124" spans="1:12" ht="15">
      <c r="A124" s="34">
        <v>0.26</v>
      </c>
      <c r="B124" s="19">
        <f t="shared" si="5"/>
        <v>0.26</v>
      </c>
      <c r="C124" s="50">
        <v>440.535</v>
      </c>
      <c r="D124" s="19">
        <f t="shared" si="3"/>
        <v>475.87602430000004</v>
      </c>
      <c r="E124" s="58">
        <v>0.4</v>
      </c>
      <c r="F124" s="34">
        <v>0.4369</v>
      </c>
      <c r="G124" s="34">
        <v>0.0058</v>
      </c>
      <c r="H124" s="19">
        <f t="shared" si="4"/>
        <v>0.43735462890116195</v>
      </c>
      <c r="I124" s="41"/>
      <c r="J124" s="41"/>
      <c r="K124" s="41"/>
      <c r="L124" s="41"/>
    </row>
    <row r="125" spans="1:12" ht="15">
      <c r="A125" s="34">
        <v>0.78</v>
      </c>
      <c r="B125" s="19">
        <f t="shared" si="5"/>
        <v>0.78</v>
      </c>
      <c r="C125" s="50">
        <v>476.61</v>
      </c>
      <c r="D125" s="19">
        <f t="shared" si="3"/>
        <v>511.95102430000003</v>
      </c>
      <c r="E125" s="58">
        <v>0.5</v>
      </c>
      <c r="F125" s="34">
        <v>0.4277</v>
      </c>
      <c r="G125" s="49">
        <v>0.006</v>
      </c>
      <c r="H125" s="19">
        <f t="shared" si="4"/>
        <v>0.42817030575982273</v>
      </c>
      <c r="I125" s="41"/>
      <c r="J125" s="41"/>
      <c r="K125" s="41"/>
      <c r="L125" s="41"/>
    </row>
    <row r="126" spans="1:12" ht="15">
      <c r="A126" s="34">
        <v>1.31</v>
      </c>
      <c r="B126" s="19">
        <f t="shared" si="5"/>
        <v>1.31</v>
      </c>
      <c r="C126" s="50">
        <v>495.606</v>
      </c>
      <c r="D126" s="19">
        <f t="shared" si="3"/>
        <v>530.9470243</v>
      </c>
      <c r="E126" s="58">
        <v>0.6</v>
      </c>
      <c r="F126" s="34">
        <v>0.4192</v>
      </c>
      <c r="G126" s="34">
        <v>0.0061</v>
      </c>
      <c r="H126" s="19">
        <f t="shared" si="4"/>
        <v>0.4196781441891531</v>
      </c>
      <c r="I126" s="41"/>
      <c r="J126" s="41"/>
      <c r="K126" s="41"/>
      <c r="L126" s="41"/>
    </row>
    <row r="127" spans="1:12" ht="15">
      <c r="A127" s="47">
        <v>1.83</v>
      </c>
      <c r="B127" s="19">
        <f t="shared" si="5"/>
        <v>1.83</v>
      </c>
      <c r="C127" s="50">
        <v>501.025</v>
      </c>
      <c r="D127" s="19">
        <f t="shared" si="3"/>
        <v>536.3660242999999</v>
      </c>
      <c r="E127" s="58">
        <v>0.7</v>
      </c>
      <c r="F127" s="34">
        <v>0.411</v>
      </c>
      <c r="G127" s="20">
        <v>0.0062</v>
      </c>
      <c r="H127" s="19">
        <f t="shared" si="4"/>
        <v>0.41148598261848346</v>
      </c>
      <c r="I127" s="41"/>
      <c r="J127" s="41"/>
      <c r="K127" s="41"/>
      <c r="L127" s="41"/>
    </row>
    <row r="128" spans="1:12" ht="15">
      <c r="A128" s="47">
        <v>2.36</v>
      </c>
      <c r="B128" s="19">
        <f t="shared" si="5"/>
        <v>2.36</v>
      </c>
      <c r="C128" s="50">
        <v>499.73</v>
      </c>
      <c r="D128" s="19">
        <f t="shared" si="3"/>
        <v>535.0710243</v>
      </c>
      <c r="E128" s="58">
        <v>0.8</v>
      </c>
      <c r="F128" s="20">
        <v>0.403</v>
      </c>
      <c r="G128" s="34">
        <v>0.0063</v>
      </c>
      <c r="H128" s="19">
        <f t="shared" si="4"/>
        <v>0.4034938210478139</v>
      </c>
      <c r="I128" s="41"/>
      <c r="J128" s="41"/>
      <c r="K128" s="41"/>
      <c r="L128" s="41"/>
    </row>
    <row r="129" spans="1:12" ht="15">
      <c r="A129" s="47">
        <v>2.88</v>
      </c>
      <c r="B129" s="19">
        <f t="shared" si="5"/>
        <v>2.88</v>
      </c>
      <c r="C129" s="50">
        <v>483.257</v>
      </c>
      <c r="D129" s="19">
        <f t="shared" si="3"/>
        <v>518.5980243</v>
      </c>
      <c r="E129" s="58">
        <v>0.9</v>
      </c>
      <c r="F129" s="20">
        <v>0.395</v>
      </c>
      <c r="G129" s="34">
        <v>0.0064</v>
      </c>
      <c r="H129" s="19">
        <f t="shared" si="4"/>
        <v>0.3955016594771442</v>
      </c>
      <c r="I129" s="41"/>
      <c r="J129" s="41"/>
      <c r="K129" s="41"/>
      <c r="L129" s="41"/>
    </row>
    <row r="130" spans="1:12" ht="15">
      <c r="A130" s="47">
        <v>3.41</v>
      </c>
      <c r="B130" s="19">
        <f t="shared" si="5"/>
        <v>3.41</v>
      </c>
      <c r="C130" s="50">
        <v>431.401</v>
      </c>
      <c r="D130" s="19">
        <f t="shared" si="3"/>
        <v>466.7420243</v>
      </c>
      <c r="E130" s="58">
        <v>1</v>
      </c>
      <c r="F130" s="20">
        <v>0.52</v>
      </c>
      <c r="G130" s="34">
        <v>0.008</v>
      </c>
      <c r="H130" s="19">
        <f t="shared" si="4"/>
        <v>0.5206270743464303</v>
      </c>
      <c r="I130" s="41"/>
      <c r="J130" s="41"/>
      <c r="K130" s="41"/>
      <c r="L130" s="41"/>
    </row>
    <row r="131" spans="1:12" ht="15">
      <c r="A131" s="47">
        <v>3.93</v>
      </c>
      <c r="B131" s="19">
        <f t="shared" si="5"/>
        <v>3.93</v>
      </c>
      <c r="C131" s="50">
        <v>375.42</v>
      </c>
      <c r="D131" s="19">
        <f t="shared" si="3"/>
        <v>410.76102430000003</v>
      </c>
      <c r="E131" s="58">
        <v>2</v>
      </c>
      <c r="F131" s="58">
        <v>0.52</v>
      </c>
      <c r="G131" s="34">
        <v>0.008</v>
      </c>
      <c r="H131" s="19">
        <f t="shared" si="4"/>
        <v>0.5206270743464303</v>
      </c>
      <c r="I131" s="41"/>
      <c r="J131" s="41"/>
      <c r="K131" s="41"/>
      <c r="L131" s="41"/>
    </row>
    <row r="132" spans="1:12" ht="15">
      <c r="A132" s="47">
        <v>4.45</v>
      </c>
      <c r="B132" s="19">
        <f>B$120+A132</f>
        <v>4.45</v>
      </c>
      <c r="C132" s="50">
        <v>307.487</v>
      </c>
      <c r="D132" s="19">
        <f t="shared" si="3"/>
        <v>342.82802430000004</v>
      </c>
      <c r="E132" s="58"/>
      <c r="F132" s="58"/>
      <c r="G132" s="34" t="s">
        <v>185</v>
      </c>
      <c r="H132" s="19" t="e">
        <f t="shared" si="4"/>
        <v>#VALUE!</v>
      </c>
      <c r="I132" s="41"/>
      <c r="J132" s="41"/>
      <c r="K132" s="41"/>
      <c r="L132" s="41"/>
    </row>
    <row r="133" spans="1:12" ht="15">
      <c r="A133" s="47">
        <v>4.98</v>
      </c>
      <c r="B133" s="19">
        <f t="shared" si="5"/>
        <v>4.98</v>
      </c>
      <c r="C133" s="50">
        <v>253.807</v>
      </c>
      <c r="D133" s="19">
        <f t="shared" si="3"/>
        <v>289.1480243</v>
      </c>
      <c r="E133" s="58"/>
      <c r="F133" s="58"/>
      <c r="G133" s="34" t="s">
        <v>185</v>
      </c>
      <c r="H133" s="19" t="e">
        <f t="shared" si="4"/>
        <v>#VALUE!</v>
      </c>
      <c r="I133" s="41"/>
      <c r="J133" s="41"/>
      <c r="K133" s="41"/>
      <c r="L133" s="41"/>
    </row>
    <row r="134" spans="1:12" ht="15">
      <c r="A134" s="47">
        <v>5.5</v>
      </c>
      <c r="B134" s="19">
        <f t="shared" si="5"/>
        <v>5.5</v>
      </c>
      <c r="C134" s="50">
        <v>172.591</v>
      </c>
      <c r="D134" s="19">
        <f t="shared" si="3"/>
        <v>207.9320243</v>
      </c>
      <c r="E134" s="58"/>
      <c r="F134" s="58"/>
      <c r="G134" s="34" t="s">
        <v>185</v>
      </c>
      <c r="H134" s="19" t="e">
        <f t="shared" si="4"/>
        <v>#VALUE!</v>
      </c>
      <c r="I134" s="41"/>
      <c r="J134" s="41"/>
      <c r="K134" s="41"/>
      <c r="L134" s="41"/>
    </row>
    <row r="135" spans="1:12" ht="15">
      <c r="A135" s="47">
        <v>6.03</v>
      </c>
      <c r="B135" s="19">
        <f t="shared" si="5"/>
        <v>6.03</v>
      </c>
      <c r="C135" s="50">
        <v>61.08</v>
      </c>
      <c r="D135" s="19">
        <f t="shared" si="3"/>
        <v>96.4210243</v>
      </c>
      <c r="E135" s="45"/>
      <c r="F135" s="45"/>
      <c r="G135" s="45"/>
      <c r="H135" s="45"/>
      <c r="I135" s="41"/>
      <c r="J135" s="41"/>
      <c r="K135" s="41"/>
      <c r="L135" s="41"/>
    </row>
    <row r="136" spans="1:12" ht="15">
      <c r="A136" s="47">
        <v>6.55</v>
      </c>
      <c r="B136" s="19">
        <f t="shared" si="5"/>
        <v>6.55</v>
      </c>
      <c r="C136" s="50">
        <v>4.724</v>
      </c>
      <c r="D136" s="19">
        <f t="shared" si="3"/>
        <v>40.06502429999999</v>
      </c>
      <c r="E136" s="45"/>
      <c r="F136" s="45"/>
      <c r="G136" s="45"/>
      <c r="H136" s="45"/>
      <c r="I136" s="41"/>
      <c r="J136" s="41"/>
      <c r="K136" s="41"/>
      <c r="L136" s="41"/>
    </row>
    <row r="137" spans="1:12" ht="15">
      <c r="A137" s="47">
        <v>7.08</v>
      </c>
      <c r="B137" s="19">
        <f t="shared" si="5"/>
        <v>7.08</v>
      </c>
      <c r="C137" s="50">
        <v>0</v>
      </c>
      <c r="D137" s="19">
        <f t="shared" si="3"/>
        <v>0</v>
      </c>
      <c r="E137" s="45"/>
      <c r="F137" s="45"/>
      <c r="G137" s="45"/>
      <c r="H137" s="45"/>
      <c r="I137" s="41"/>
      <c r="J137" s="41"/>
      <c r="K137" s="41"/>
      <c r="L137" s="41"/>
    </row>
    <row r="138" spans="1:12" ht="15">
      <c r="A138" s="47">
        <v>15</v>
      </c>
      <c r="B138" s="19">
        <f t="shared" si="5"/>
        <v>15</v>
      </c>
      <c r="C138" s="50">
        <v>0</v>
      </c>
      <c r="D138" s="19">
        <f t="shared" si="3"/>
        <v>0</v>
      </c>
      <c r="E138" s="45"/>
      <c r="F138" s="45"/>
      <c r="G138" s="45"/>
      <c r="H138" s="45"/>
      <c r="I138" s="41"/>
      <c r="J138" s="41"/>
      <c r="K138" s="41"/>
      <c r="L138" s="41"/>
    </row>
    <row r="139" spans="1:12" ht="15">
      <c r="A139" s="47">
        <v>16</v>
      </c>
      <c r="B139" s="19">
        <f t="shared" si="5"/>
        <v>16</v>
      </c>
      <c r="C139" s="50">
        <v>0</v>
      </c>
      <c r="D139" s="19">
        <f t="shared" si="3"/>
        <v>0</v>
      </c>
      <c r="E139" s="45"/>
      <c r="F139" s="45"/>
      <c r="G139" s="45"/>
      <c r="H139" s="45"/>
      <c r="I139" s="41"/>
      <c r="J139" s="41"/>
      <c r="K139" s="41"/>
      <c r="L139" s="41"/>
    </row>
    <row r="140" spans="1:12" ht="15">
      <c r="A140" s="47">
        <v>17</v>
      </c>
      <c r="B140" s="19">
        <f t="shared" si="5"/>
        <v>17</v>
      </c>
      <c r="C140" s="50">
        <v>0</v>
      </c>
      <c r="D140" s="19">
        <f t="shared" si="3"/>
        <v>0</v>
      </c>
      <c r="E140" s="45"/>
      <c r="F140" s="45"/>
      <c r="G140" s="45"/>
      <c r="K140" s="45"/>
      <c r="L140" s="45"/>
    </row>
    <row r="141" spans="1:12" ht="15">
      <c r="A141" s="47">
        <v>18</v>
      </c>
      <c r="B141" s="19">
        <f t="shared" si="5"/>
        <v>18</v>
      </c>
      <c r="C141" s="50">
        <v>0</v>
      </c>
      <c r="D141" s="19">
        <f t="shared" si="3"/>
        <v>0</v>
      </c>
      <c r="K141" s="45"/>
      <c r="L141" s="45"/>
    </row>
    <row r="142" spans="1:12" ht="15">
      <c r="A142" s="47">
        <v>19</v>
      </c>
      <c r="B142" s="19">
        <f t="shared" si="5"/>
        <v>19</v>
      </c>
      <c r="C142" s="50">
        <v>0</v>
      </c>
      <c r="D142" s="19">
        <f t="shared" si="3"/>
        <v>0</v>
      </c>
      <c r="K142" s="45"/>
      <c r="L142" s="45"/>
    </row>
    <row r="143" spans="1:12" ht="15">
      <c r="A143" s="47">
        <v>20</v>
      </c>
      <c r="B143" s="19">
        <f t="shared" si="5"/>
        <v>20</v>
      </c>
      <c r="C143" s="50">
        <v>0</v>
      </c>
      <c r="D143" s="19">
        <f t="shared" si="3"/>
        <v>0</v>
      </c>
      <c r="K143" s="45"/>
      <c r="L143" s="45"/>
    </row>
    <row r="144" spans="1:12" ht="15">
      <c r="A144" s="47">
        <v>21</v>
      </c>
      <c r="B144" s="19">
        <f t="shared" si="5"/>
        <v>21</v>
      </c>
      <c r="C144" s="50">
        <v>0</v>
      </c>
      <c r="D144" s="19">
        <f t="shared" si="3"/>
        <v>0</v>
      </c>
      <c r="K144" s="45"/>
      <c r="L144" s="45"/>
    </row>
    <row r="145" spans="1:12" ht="15">
      <c r="A145" s="47">
        <v>22</v>
      </c>
      <c r="B145" s="19">
        <f t="shared" si="5"/>
        <v>22</v>
      </c>
      <c r="C145" s="50">
        <v>0</v>
      </c>
      <c r="D145" s="19">
        <f t="shared" si="3"/>
        <v>0</v>
      </c>
      <c r="K145" s="45"/>
      <c r="L145" s="45"/>
    </row>
    <row r="146" spans="1:12" ht="15">
      <c r="A146" s="47">
        <v>23</v>
      </c>
      <c r="B146" s="19">
        <f t="shared" si="5"/>
        <v>23</v>
      </c>
      <c r="C146" s="50">
        <v>0</v>
      </c>
      <c r="D146" s="19">
        <f t="shared" si="3"/>
        <v>0</v>
      </c>
      <c r="K146" s="45"/>
      <c r="L146" s="45"/>
    </row>
    <row r="147" spans="1:12" ht="15">
      <c r="A147" s="47">
        <v>24</v>
      </c>
      <c r="B147" s="19">
        <f t="shared" si="5"/>
        <v>24</v>
      </c>
      <c r="C147" s="50">
        <v>0</v>
      </c>
      <c r="D147" s="19">
        <f t="shared" si="3"/>
        <v>0</v>
      </c>
      <c r="K147" s="45"/>
      <c r="L147" s="45"/>
    </row>
    <row r="148" spans="1:12" ht="15">
      <c r="A148" s="47">
        <v>25</v>
      </c>
      <c r="B148" s="19">
        <f t="shared" si="5"/>
        <v>25</v>
      </c>
      <c r="C148" s="50">
        <v>0</v>
      </c>
      <c r="D148" s="19">
        <f t="shared" si="3"/>
        <v>0</v>
      </c>
      <c r="K148" s="45"/>
      <c r="L148" s="45"/>
    </row>
    <row r="149" spans="1:12" ht="15">
      <c r="A149" s="47">
        <v>26</v>
      </c>
      <c r="B149" s="19">
        <f t="shared" si="5"/>
        <v>26</v>
      </c>
      <c r="C149" s="50">
        <v>0</v>
      </c>
      <c r="D149" s="19">
        <f t="shared" si="3"/>
        <v>0</v>
      </c>
      <c r="K149" s="45"/>
      <c r="L149" s="45"/>
    </row>
    <row r="150" spans="1:12" ht="15">
      <c r="A150" s="47">
        <v>27</v>
      </c>
      <c r="B150" s="19">
        <f t="shared" si="5"/>
        <v>27</v>
      </c>
      <c r="C150" s="50">
        <v>0</v>
      </c>
      <c r="D150" s="19">
        <f t="shared" si="3"/>
        <v>0</v>
      </c>
      <c r="K150" s="45"/>
      <c r="L150" s="45"/>
    </row>
    <row r="151" spans="1:4" ht="15">
      <c r="A151" s="47">
        <v>28</v>
      </c>
      <c r="B151" s="19">
        <f t="shared" si="5"/>
        <v>28</v>
      </c>
      <c r="C151" s="50">
        <v>0</v>
      </c>
      <c r="D151" s="19">
        <f t="shared" si="3"/>
        <v>0</v>
      </c>
    </row>
    <row r="152" spans="1:4" ht="15">
      <c r="A152" s="47">
        <v>29</v>
      </c>
      <c r="B152" s="19">
        <f t="shared" si="5"/>
        <v>29</v>
      </c>
      <c r="C152" s="50">
        <v>0</v>
      </c>
      <c r="D152" s="19">
        <f t="shared" si="3"/>
        <v>0</v>
      </c>
    </row>
    <row r="153" spans="1:4" ht="15">
      <c r="A153" s="47">
        <v>30</v>
      </c>
      <c r="B153" s="19">
        <f aca="true" t="shared" si="6" ref="B153:B165">B$120+A153</f>
        <v>30</v>
      </c>
      <c r="C153" s="50">
        <v>0</v>
      </c>
      <c r="D153" s="19">
        <f t="shared" si="3"/>
        <v>0</v>
      </c>
    </row>
    <row r="154" spans="1:4" ht="15">
      <c r="A154" s="47">
        <v>31</v>
      </c>
      <c r="B154" s="19">
        <f t="shared" si="6"/>
        <v>31</v>
      </c>
      <c r="C154" s="50">
        <v>0</v>
      </c>
      <c r="D154" s="19">
        <f t="shared" si="3"/>
        <v>0</v>
      </c>
    </row>
    <row r="155" spans="1:4" ht="15">
      <c r="A155" s="47">
        <v>32</v>
      </c>
      <c r="B155" s="19">
        <f t="shared" si="6"/>
        <v>32</v>
      </c>
      <c r="C155" s="50">
        <v>0</v>
      </c>
      <c r="D155" s="19">
        <f t="shared" si="3"/>
        <v>0</v>
      </c>
    </row>
    <row r="156" spans="1:4" ht="15">
      <c r="A156" s="47">
        <v>33</v>
      </c>
      <c r="B156" s="19">
        <f t="shared" si="6"/>
        <v>33</v>
      </c>
      <c r="C156" s="50">
        <v>0</v>
      </c>
      <c r="D156" s="19">
        <f t="shared" si="3"/>
        <v>0</v>
      </c>
    </row>
    <row r="157" spans="1:4" ht="15">
      <c r="A157" s="47">
        <v>34</v>
      </c>
      <c r="B157" s="19">
        <f t="shared" si="6"/>
        <v>34</v>
      </c>
      <c r="C157" s="50">
        <v>0</v>
      </c>
      <c r="D157" s="19">
        <f t="shared" si="3"/>
        <v>0</v>
      </c>
    </row>
    <row r="158" spans="1:4" ht="15">
      <c r="A158" s="47">
        <v>35</v>
      </c>
      <c r="B158" s="19">
        <f t="shared" si="6"/>
        <v>35</v>
      </c>
      <c r="C158" s="50">
        <v>0</v>
      </c>
      <c r="D158" s="19">
        <f t="shared" si="3"/>
        <v>0</v>
      </c>
    </row>
    <row r="159" spans="1:4" ht="15">
      <c r="A159" s="47">
        <v>36</v>
      </c>
      <c r="B159" s="19">
        <f t="shared" si="6"/>
        <v>36</v>
      </c>
      <c r="C159" s="50">
        <v>0</v>
      </c>
      <c r="D159" s="19">
        <f t="shared" si="3"/>
        <v>0</v>
      </c>
    </row>
    <row r="160" spans="1:4" ht="15">
      <c r="A160" s="47">
        <v>37</v>
      </c>
      <c r="B160" s="19">
        <f t="shared" si="6"/>
        <v>37</v>
      </c>
      <c r="C160" s="50">
        <v>0</v>
      </c>
      <c r="D160" s="19">
        <f t="shared" si="3"/>
        <v>0</v>
      </c>
    </row>
    <row r="161" spans="1:4" ht="15">
      <c r="A161" s="47">
        <v>38</v>
      </c>
      <c r="B161" s="19">
        <f t="shared" si="6"/>
        <v>38</v>
      </c>
      <c r="C161" s="50">
        <v>0</v>
      </c>
      <c r="D161" s="19">
        <f t="shared" si="3"/>
        <v>0</v>
      </c>
    </row>
    <row r="162" spans="1:4" ht="15">
      <c r="A162" s="47">
        <v>39</v>
      </c>
      <c r="B162" s="19">
        <f t="shared" si="6"/>
        <v>39</v>
      </c>
      <c r="C162" s="50">
        <v>0</v>
      </c>
      <c r="D162" s="19">
        <f t="shared" si="3"/>
        <v>0</v>
      </c>
    </row>
    <row r="163" spans="1:4" ht="15">
      <c r="A163" s="47">
        <v>40</v>
      </c>
      <c r="B163" s="19">
        <f t="shared" si="6"/>
        <v>40</v>
      </c>
      <c r="C163" s="50">
        <v>0</v>
      </c>
      <c r="D163" s="19">
        <f t="shared" si="3"/>
        <v>0</v>
      </c>
    </row>
    <row r="164" spans="1:4" ht="15">
      <c r="A164" s="47">
        <v>41</v>
      </c>
      <c r="B164" s="19">
        <f t="shared" si="6"/>
        <v>41</v>
      </c>
      <c r="C164" s="50">
        <v>0</v>
      </c>
      <c r="D164" s="19">
        <f t="shared" si="3"/>
        <v>0</v>
      </c>
    </row>
    <row r="165" spans="1:4" ht="15">
      <c r="A165" s="47">
        <v>42</v>
      </c>
      <c r="B165" s="19">
        <f t="shared" si="6"/>
        <v>42</v>
      </c>
      <c r="C165" s="50">
        <v>0</v>
      </c>
      <c r="D165" s="19">
        <f t="shared" si="3"/>
        <v>0</v>
      </c>
    </row>
    <row r="166" spans="1:4" ht="15">
      <c r="A166" s="47">
        <v>43</v>
      </c>
      <c r="B166" s="19">
        <f aca="true" t="shared" si="7" ref="B166:B220">B$120+A166</f>
        <v>43</v>
      </c>
      <c r="C166" s="50">
        <v>0</v>
      </c>
      <c r="D166" s="19">
        <f t="shared" si="3"/>
        <v>0</v>
      </c>
    </row>
    <row r="167" spans="1:4" ht="15">
      <c r="A167" s="47">
        <v>44</v>
      </c>
      <c r="B167" s="19">
        <f t="shared" si="7"/>
        <v>44</v>
      </c>
      <c r="C167" s="50">
        <v>0</v>
      </c>
      <c r="D167" s="19">
        <f t="shared" si="3"/>
        <v>0</v>
      </c>
    </row>
    <row r="168" spans="1:4" ht="15">
      <c r="A168" s="47">
        <v>45</v>
      </c>
      <c r="B168" s="19">
        <f t="shared" si="7"/>
        <v>45</v>
      </c>
      <c r="C168" s="50">
        <v>0</v>
      </c>
      <c r="D168" s="19">
        <f t="shared" si="3"/>
        <v>0</v>
      </c>
    </row>
    <row r="169" spans="1:4" ht="15">
      <c r="A169" s="47">
        <v>46</v>
      </c>
      <c r="B169" s="19">
        <f t="shared" si="7"/>
        <v>46</v>
      </c>
      <c r="C169" s="50">
        <v>0</v>
      </c>
      <c r="D169" s="19">
        <f t="shared" si="3"/>
        <v>0</v>
      </c>
    </row>
    <row r="170" spans="1:4" ht="15">
      <c r="A170" s="47">
        <v>47</v>
      </c>
      <c r="B170" s="19">
        <f t="shared" si="7"/>
        <v>47</v>
      </c>
      <c r="C170" s="50">
        <v>0</v>
      </c>
      <c r="D170" s="19">
        <f t="shared" si="3"/>
        <v>0</v>
      </c>
    </row>
    <row r="171" spans="1:4" ht="15">
      <c r="A171" s="47">
        <v>48</v>
      </c>
      <c r="B171" s="19">
        <f t="shared" si="7"/>
        <v>48</v>
      </c>
      <c r="C171" s="50">
        <v>0</v>
      </c>
      <c r="D171" s="19">
        <f t="shared" si="3"/>
        <v>0</v>
      </c>
    </row>
    <row r="172" spans="1:4" ht="15">
      <c r="A172" s="47">
        <v>49</v>
      </c>
      <c r="B172" s="19">
        <f t="shared" si="7"/>
        <v>49</v>
      </c>
      <c r="C172" s="50">
        <v>0</v>
      </c>
      <c r="D172" s="19">
        <f t="shared" si="3"/>
        <v>0</v>
      </c>
    </row>
    <row r="173" spans="1:4" ht="15">
      <c r="A173" s="47">
        <v>50</v>
      </c>
      <c r="B173" s="19">
        <f t="shared" si="7"/>
        <v>50</v>
      </c>
      <c r="C173" s="50">
        <v>0</v>
      </c>
      <c r="D173" s="19">
        <f t="shared" si="3"/>
        <v>0</v>
      </c>
    </row>
    <row r="174" spans="1:4" ht="15">
      <c r="A174" s="47">
        <v>51</v>
      </c>
      <c r="B174" s="19">
        <f t="shared" si="7"/>
        <v>51</v>
      </c>
      <c r="C174" s="50">
        <v>0</v>
      </c>
      <c r="D174" s="19">
        <f t="shared" si="3"/>
        <v>0</v>
      </c>
    </row>
    <row r="175" spans="1:4" ht="15">
      <c r="A175" s="47">
        <v>52</v>
      </c>
      <c r="B175" s="19">
        <f t="shared" si="7"/>
        <v>52</v>
      </c>
      <c r="C175" s="50">
        <v>0</v>
      </c>
      <c r="D175" s="19">
        <f t="shared" si="3"/>
        <v>0</v>
      </c>
    </row>
    <row r="176" spans="1:4" ht="15">
      <c r="A176" s="47">
        <v>53</v>
      </c>
      <c r="B176" s="19">
        <f t="shared" si="7"/>
        <v>53</v>
      </c>
      <c r="C176" s="50">
        <v>0</v>
      </c>
      <c r="D176" s="19">
        <f t="shared" si="3"/>
        <v>0</v>
      </c>
    </row>
    <row r="177" spans="1:4" ht="15">
      <c r="A177" s="47">
        <v>54</v>
      </c>
      <c r="B177" s="19">
        <f t="shared" si="7"/>
        <v>54</v>
      </c>
      <c r="C177" s="50">
        <v>0</v>
      </c>
      <c r="D177" s="19">
        <f t="shared" si="3"/>
        <v>0</v>
      </c>
    </row>
    <row r="178" spans="1:4" ht="15">
      <c r="A178" s="47">
        <v>55</v>
      </c>
      <c r="B178" s="19">
        <f t="shared" si="7"/>
        <v>55</v>
      </c>
      <c r="C178" s="50">
        <v>0</v>
      </c>
      <c r="D178" s="19">
        <f t="shared" si="3"/>
        <v>0</v>
      </c>
    </row>
    <row r="179" spans="1:4" ht="15">
      <c r="A179" s="47">
        <v>56</v>
      </c>
      <c r="B179" s="19">
        <f t="shared" si="7"/>
        <v>56</v>
      </c>
      <c r="C179" s="50">
        <v>0</v>
      </c>
      <c r="D179" s="19">
        <f t="shared" si="3"/>
        <v>0</v>
      </c>
    </row>
    <row r="180" spans="1:4" ht="15">
      <c r="A180" s="47">
        <v>57</v>
      </c>
      <c r="B180" s="19">
        <f t="shared" si="7"/>
        <v>57</v>
      </c>
      <c r="C180" s="50">
        <v>0</v>
      </c>
      <c r="D180" s="19">
        <f t="shared" si="3"/>
        <v>0</v>
      </c>
    </row>
    <row r="181" spans="1:4" ht="15">
      <c r="A181" s="47">
        <v>58</v>
      </c>
      <c r="B181" s="19">
        <f t="shared" si="7"/>
        <v>58</v>
      </c>
      <c r="C181" s="50">
        <v>0</v>
      </c>
      <c r="D181" s="19">
        <f t="shared" si="3"/>
        <v>0</v>
      </c>
    </row>
    <row r="182" spans="1:4" ht="15">
      <c r="A182" s="47">
        <v>59</v>
      </c>
      <c r="B182" s="19">
        <f t="shared" si="7"/>
        <v>59</v>
      </c>
      <c r="C182" s="50">
        <v>0</v>
      </c>
      <c r="D182" s="19">
        <f t="shared" si="3"/>
        <v>0</v>
      </c>
    </row>
    <row r="183" spans="1:4" ht="15">
      <c r="A183" s="47">
        <v>60</v>
      </c>
      <c r="B183" s="19">
        <f t="shared" si="7"/>
        <v>60</v>
      </c>
      <c r="C183" s="50">
        <v>0</v>
      </c>
      <c r="D183" s="19">
        <f t="shared" si="3"/>
        <v>0</v>
      </c>
    </row>
    <row r="184" spans="1:4" ht="15">
      <c r="A184" s="47">
        <v>61</v>
      </c>
      <c r="B184" s="19">
        <f t="shared" si="7"/>
        <v>61</v>
      </c>
      <c r="C184" s="50">
        <v>0</v>
      </c>
      <c r="D184" s="19">
        <f t="shared" si="3"/>
        <v>0</v>
      </c>
    </row>
    <row r="185" spans="1:4" ht="15">
      <c r="A185" s="47">
        <v>62</v>
      </c>
      <c r="B185" s="19">
        <f t="shared" si="7"/>
        <v>62</v>
      </c>
      <c r="C185" s="50">
        <v>0</v>
      </c>
      <c r="D185" s="19">
        <f aca="true" t="shared" si="8" ref="D185:D240">IF($D$118=TRUE,C185,IF(C185&gt;0,C185+B$12*B$244,0))</f>
        <v>0</v>
      </c>
    </row>
    <row r="186" spans="1:4" ht="15">
      <c r="A186" s="47">
        <v>63</v>
      </c>
      <c r="B186" s="19">
        <f t="shared" si="7"/>
        <v>63</v>
      </c>
      <c r="C186" s="50">
        <v>0</v>
      </c>
      <c r="D186" s="19">
        <f t="shared" si="8"/>
        <v>0</v>
      </c>
    </row>
    <row r="187" spans="1:4" ht="15">
      <c r="A187" s="47">
        <v>64</v>
      </c>
      <c r="B187" s="19">
        <f t="shared" si="7"/>
        <v>64</v>
      </c>
      <c r="C187" s="50">
        <v>0</v>
      </c>
      <c r="D187" s="19">
        <f t="shared" si="8"/>
        <v>0</v>
      </c>
    </row>
    <row r="188" spans="1:4" ht="15">
      <c r="A188" s="47">
        <v>65</v>
      </c>
      <c r="B188" s="19">
        <f t="shared" si="7"/>
        <v>65</v>
      </c>
      <c r="C188" s="50">
        <v>0</v>
      </c>
      <c r="D188" s="19">
        <f t="shared" si="8"/>
        <v>0</v>
      </c>
    </row>
    <row r="189" spans="1:4" ht="15">
      <c r="A189" s="47">
        <v>66</v>
      </c>
      <c r="B189" s="19">
        <f t="shared" si="7"/>
        <v>66</v>
      </c>
      <c r="C189" s="50">
        <v>0</v>
      </c>
      <c r="D189" s="19">
        <f t="shared" si="8"/>
        <v>0</v>
      </c>
    </row>
    <row r="190" spans="1:4" ht="15">
      <c r="A190" s="47">
        <v>67</v>
      </c>
      <c r="B190" s="19">
        <f t="shared" si="7"/>
        <v>67</v>
      </c>
      <c r="C190" s="50">
        <v>0</v>
      </c>
      <c r="D190" s="19">
        <f t="shared" si="8"/>
        <v>0</v>
      </c>
    </row>
    <row r="191" spans="1:4" ht="15">
      <c r="A191" s="47">
        <v>68</v>
      </c>
      <c r="B191" s="19">
        <f t="shared" si="7"/>
        <v>68</v>
      </c>
      <c r="C191" s="50">
        <v>0</v>
      </c>
      <c r="D191" s="19">
        <f t="shared" si="8"/>
        <v>0</v>
      </c>
    </row>
    <row r="192" spans="1:4" ht="15">
      <c r="A192" s="47">
        <v>69</v>
      </c>
      <c r="B192" s="19">
        <f t="shared" si="7"/>
        <v>69</v>
      </c>
      <c r="C192" s="50">
        <v>0</v>
      </c>
      <c r="D192" s="19">
        <f t="shared" si="8"/>
        <v>0</v>
      </c>
    </row>
    <row r="193" spans="1:4" ht="15">
      <c r="A193" s="47">
        <v>70</v>
      </c>
      <c r="B193" s="19">
        <f t="shared" si="7"/>
        <v>70</v>
      </c>
      <c r="C193" s="50">
        <v>0</v>
      </c>
      <c r="D193" s="19">
        <f t="shared" si="8"/>
        <v>0</v>
      </c>
    </row>
    <row r="194" spans="1:4" ht="15">
      <c r="A194" s="47">
        <v>71</v>
      </c>
      <c r="B194" s="19">
        <f t="shared" si="7"/>
        <v>71</v>
      </c>
      <c r="C194" s="50">
        <v>0</v>
      </c>
      <c r="D194" s="19">
        <f t="shared" si="8"/>
        <v>0</v>
      </c>
    </row>
    <row r="195" spans="1:4" ht="15">
      <c r="A195" s="47">
        <v>72</v>
      </c>
      <c r="B195" s="19">
        <f t="shared" si="7"/>
        <v>72</v>
      </c>
      <c r="C195" s="50">
        <v>0</v>
      </c>
      <c r="D195" s="19">
        <f t="shared" si="8"/>
        <v>0</v>
      </c>
    </row>
    <row r="196" spans="1:4" ht="15">
      <c r="A196" s="47">
        <v>73</v>
      </c>
      <c r="B196" s="19">
        <f t="shared" si="7"/>
        <v>73</v>
      </c>
      <c r="C196" s="50">
        <v>0</v>
      </c>
      <c r="D196" s="19">
        <f t="shared" si="8"/>
        <v>0</v>
      </c>
    </row>
    <row r="197" spans="1:4" ht="15">
      <c r="A197" s="47">
        <v>74</v>
      </c>
      <c r="B197" s="19">
        <f t="shared" si="7"/>
        <v>74</v>
      </c>
      <c r="C197" s="50">
        <v>0</v>
      </c>
      <c r="D197" s="19">
        <f t="shared" si="8"/>
        <v>0</v>
      </c>
    </row>
    <row r="198" spans="1:4" ht="15">
      <c r="A198" s="47">
        <v>75</v>
      </c>
      <c r="B198" s="19">
        <f t="shared" si="7"/>
        <v>75</v>
      </c>
      <c r="C198" s="50">
        <v>0</v>
      </c>
      <c r="D198" s="19">
        <f t="shared" si="8"/>
        <v>0</v>
      </c>
    </row>
    <row r="199" spans="1:4" ht="15">
      <c r="A199" s="47">
        <v>76</v>
      </c>
      <c r="B199" s="19">
        <f t="shared" si="7"/>
        <v>76</v>
      </c>
      <c r="C199" s="50">
        <v>0</v>
      </c>
      <c r="D199" s="19">
        <f t="shared" si="8"/>
        <v>0</v>
      </c>
    </row>
    <row r="200" spans="1:4" ht="15">
      <c r="A200" s="47">
        <v>77</v>
      </c>
      <c r="B200" s="19">
        <f t="shared" si="7"/>
        <v>77</v>
      </c>
      <c r="C200" s="50">
        <v>0</v>
      </c>
      <c r="D200" s="19">
        <f t="shared" si="8"/>
        <v>0</v>
      </c>
    </row>
    <row r="201" spans="1:4" ht="15">
      <c r="A201" s="47">
        <v>78</v>
      </c>
      <c r="B201" s="19">
        <f t="shared" si="7"/>
        <v>78</v>
      </c>
      <c r="C201" s="50">
        <v>0</v>
      </c>
      <c r="D201" s="19">
        <f t="shared" si="8"/>
        <v>0</v>
      </c>
    </row>
    <row r="202" spans="1:4" ht="15">
      <c r="A202" s="47">
        <v>79</v>
      </c>
      <c r="B202" s="19">
        <f t="shared" si="7"/>
        <v>79</v>
      </c>
      <c r="C202" s="50">
        <v>0</v>
      </c>
      <c r="D202" s="19">
        <f t="shared" si="8"/>
        <v>0</v>
      </c>
    </row>
    <row r="203" spans="1:4" ht="15">
      <c r="A203" s="47">
        <v>80</v>
      </c>
      <c r="B203" s="19">
        <f t="shared" si="7"/>
        <v>80</v>
      </c>
      <c r="C203" s="50">
        <v>0</v>
      </c>
      <c r="D203" s="19">
        <f t="shared" si="8"/>
        <v>0</v>
      </c>
    </row>
    <row r="204" spans="1:4" ht="15">
      <c r="A204" s="47">
        <v>81</v>
      </c>
      <c r="B204" s="19">
        <f t="shared" si="7"/>
        <v>81</v>
      </c>
      <c r="C204" s="50">
        <v>0</v>
      </c>
      <c r="D204" s="19">
        <f t="shared" si="8"/>
        <v>0</v>
      </c>
    </row>
    <row r="205" spans="1:4" ht="15">
      <c r="A205" s="47">
        <v>82</v>
      </c>
      <c r="B205" s="19">
        <f t="shared" si="7"/>
        <v>82</v>
      </c>
      <c r="C205" s="50">
        <v>0</v>
      </c>
      <c r="D205" s="19">
        <f t="shared" si="8"/>
        <v>0</v>
      </c>
    </row>
    <row r="206" spans="1:4" ht="15">
      <c r="A206" s="47">
        <v>83</v>
      </c>
      <c r="B206" s="19">
        <f t="shared" si="7"/>
        <v>83</v>
      </c>
      <c r="C206" s="50">
        <v>0</v>
      </c>
      <c r="D206" s="19">
        <f t="shared" si="8"/>
        <v>0</v>
      </c>
    </row>
    <row r="207" spans="1:4" ht="15">
      <c r="A207" s="47">
        <v>84</v>
      </c>
      <c r="B207" s="19">
        <f t="shared" si="7"/>
        <v>84</v>
      </c>
      <c r="C207" s="50">
        <v>0</v>
      </c>
      <c r="D207" s="19">
        <f t="shared" si="8"/>
        <v>0</v>
      </c>
    </row>
    <row r="208" spans="1:4" ht="15">
      <c r="A208" s="47">
        <v>85</v>
      </c>
      <c r="B208" s="19">
        <f t="shared" si="7"/>
        <v>85</v>
      </c>
      <c r="C208" s="50">
        <v>0</v>
      </c>
      <c r="D208" s="19">
        <f t="shared" si="8"/>
        <v>0</v>
      </c>
    </row>
    <row r="209" spans="1:4" ht="15">
      <c r="A209" s="47">
        <v>86</v>
      </c>
      <c r="B209" s="19">
        <f t="shared" si="7"/>
        <v>86</v>
      </c>
      <c r="C209" s="50">
        <v>0</v>
      </c>
      <c r="D209" s="19">
        <f t="shared" si="8"/>
        <v>0</v>
      </c>
    </row>
    <row r="210" spans="1:4" ht="15">
      <c r="A210" s="47">
        <v>87</v>
      </c>
      <c r="B210" s="19">
        <f t="shared" si="7"/>
        <v>87</v>
      </c>
      <c r="C210" s="50">
        <v>0</v>
      </c>
      <c r="D210" s="19">
        <f t="shared" si="8"/>
        <v>0</v>
      </c>
    </row>
    <row r="211" spans="1:4" ht="15">
      <c r="A211" s="47">
        <v>88</v>
      </c>
      <c r="B211" s="19">
        <f t="shared" si="7"/>
        <v>88</v>
      </c>
      <c r="C211" s="50">
        <v>0</v>
      </c>
      <c r="D211" s="19">
        <f t="shared" si="8"/>
        <v>0</v>
      </c>
    </row>
    <row r="212" spans="1:4" ht="15">
      <c r="A212" s="47">
        <v>89</v>
      </c>
      <c r="B212" s="19">
        <f t="shared" si="7"/>
        <v>89</v>
      </c>
      <c r="C212" s="50">
        <v>0</v>
      </c>
      <c r="D212" s="19">
        <f t="shared" si="8"/>
        <v>0</v>
      </c>
    </row>
    <row r="213" spans="1:4" ht="15">
      <c r="A213" s="47">
        <v>90</v>
      </c>
      <c r="B213" s="19">
        <f t="shared" si="7"/>
        <v>90</v>
      </c>
      <c r="C213" s="50">
        <v>0</v>
      </c>
      <c r="D213" s="19">
        <f t="shared" si="8"/>
        <v>0</v>
      </c>
    </row>
    <row r="214" spans="1:4" ht="15">
      <c r="A214" s="47">
        <v>91</v>
      </c>
      <c r="B214" s="19">
        <f t="shared" si="7"/>
        <v>91</v>
      </c>
      <c r="C214" s="50">
        <v>0</v>
      </c>
      <c r="D214" s="19">
        <f t="shared" si="8"/>
        <v>0</v>
      </c>
    </row>
    <row r="215" spans="1:4" ht="15">
      <c r="A215" s="47">
        <v>92</v>
      </c>
      <c r="B215" s="19">
        <f t="shared" si="7"/>
        <v>92</v>
      </c>
      <c r="C215" s="50">
        <v>0</v>
      </c>
      <c r="D215" s="19">
        <f t="shared" si="8"/>
        <v>0</v>
      </c>
    </row>
    <row r="216" spans="1:4" ht="15">
      <c r="A216" s="47">
        <v>93</v>
      </c>
      <c r="B216" s="19">
        <f t="shared" si="7"/>
        <v>93</v>
      </c>
      <c r="C216" s="50">
        <v>0</v>
      </c>
      <c r="D216" s="19">
        <f t="shared" si="8"/>
        <v>0</v>
      </c>
    </row>
    <row r="217" spans="1:4" ht="15">
      <c r="A217" s="47">
        <v>94</v>
      </c>
      <c r="B217" s="19">
        <f t="shared" si="7"/>
        <v>94</v>
      </c>
      <c r="C217" s="50">
        <v>0</v>
      </c>
      <c r="D217" s="19">
        <f t="shared" si="8"/>
        <v>0</v>
      </c>
    </row>
    <row r="218" spans="1:4" ht="15">
      <c r="A218" s="47">
        <v>95</v>
      </c>
      <c r="B218" s="19">
        <f t="shared" si="7"/>
        <v>95</v>
      </c>
      <c r="C218" s="50">
        <v>0</v>
      </c>
      <c r="D218" s="19">
        <f t="shared" si="8"/>
        <v>0</v>
      </c>
    </row>
    <row r="219" spans="1:4" ht="15">
      <c r="A219" s="47">
        <v>96</v>
      </c>
      <c r="B219" s="19">
        <f t="shared" si="7"/>
        <v>96</v>
      </c>
      <c r="C219" s="50">
        <v>0</v>
      </c>
      <c r="D219" s="19">
        <f t="shared" si="8"/>
        <v>0</v>
      </c>
    </row>
    <row r="220" spans="1:4" ht="15">
      <c r="A220" s="47">
        <v>97</v>
      </c>
      <c r="B220" s="19">
        <f t="shared" si="7"/>
        <v>97</v>
      </c>
      <c r="C220" s="50">
        <v>0</v>
      </c>
      <c r="D220" s="19">
        <f t="shared" si="8"/>
        <v>0</v>
      </c>
    </row>
    <row r="221" spans="1:4" ht="15">
      <c r="A221" s="47">
        <v>98</v>
      </c>
      <c r="B221" s="19">
        <f aca="true" t="shared" si="9" ref="B221:B240">B$120+A221</f>
        <v>98</v>
      </c>
      <c r="C221" s="50">
        <v>0</v>
      </c>
      <c r="D221" s="19">
        <f t="shared" si="8"/>
        <v>0</v>
      </c>
    </row>
    <row r="222" spans="1:4" ht="15">
      <c r="A222" s="47">
        <v>99</v>
      </c>
      <c r="B222" s="19">
        <f t="shared" si="9"/>
        <v>99</v>
      </c>
      <c r="C222" s="50">
        <v>0</v>
      </c>
      <c r="D222" s="19">
        <f t="shared" si="8"/>
        <v>0</v>
      </c>
    </row>
    <row r="223" spans="1:4" ht="15">
      <c r="A223" s="47">
        <v>100</v>
      </c>
      <c r="B223" s="19">
        <f t="shared" si="9"/>
        <v>100</v>
      </c>
      <c r="C223" s="50">
        <v>0</v>
      </c>
      <c r="D223" s="19">
        <f t="shared" si="8"/>
        <v>0</v>
      </c>
    </row>
    <row r="224" spans="1:4" ht="15">
      <c r="A224" s="47">
        <v>101</v>
      </c>
      <c r="B224" s="19">
        <f t="shared" si="9"/>
        <v>101</v>
      </c>
      <c r="C224" s="50">
        <v>0</v>
      </c>
      <c r="D224" s="19">
        <f t="shared" si="8"/>
        <v>0</v>
      </c>
    </row>
    <row r="225" spans="1:4" ht="15">
      <c r="A225" s="47">
        <v>102</v>
      </c>
      <c r="B225" s="19">
        <f t="shared" si="9"/>
        <v>102</v>
      </c>
      <c r="C225" s="50">
        <v>0</v>
      </c>
      <c r="D225" s="19">
        <f t="shared" si="8"/>
        <v>0</v>
      </c>
    </row>
    <row r="226" spans="1:4" ht="15">
      <c r="A226" s="47">
        <v>103</v>
      </c>
      <c r="B226" s="19">
        <f t="shared" si="9"/>
        <v>103</v>
      </c>
      <c r="C226" s="50">
        <v>0</v>
      </c>
      <c r="D226" s="19">
        <f t="shared" si="8"/>
        <v>0</v>
      </c>
    </row>
    <row r="227" spans="1:4" ht="15">
      <c r="A227" s="47">
        <v>104</v>
      </c>
      <c r="B227" s="19">
        <f t="shared" si="9"/>
        <v>104</v>
      </c>
      <c r="C227" s="50">
        <v>0</v>
      </c>
      <c r="D227" s="19">
        <f t="shared" si="8"/>
        <v>0</v>
      </c>
    </row>
    <row r="228" spans="1:4" ht="15">
      <c r="A228" s="47">
        <v>105</v>
      </c>
      <c r="B228" s="19">
        <f t="shared" si="9"/>
        <v>105</v>
      </c>
      <c r="C228" s="50">
        <v>0</v>
      </c>
      <c r="D228" s="19">
        <f t="shared" si="8"/>
        <v>0</v>
      </c>
    </row>
    <row r="229" spans="1:4" ht="15">
      <c r="A229" s="47">
        <v>106</v>
      </c>
      <c r="B229" s="19">
        <f t="shared" si="9"/>
        <v>106</v>
      </c>
      <c r="C229" s="50">
        <v>0</v>
      </c>
      <c r="D229" s="19">
        <f t="shared" si="8"/>
        <v>0</v>
      </c>
    </row>
    <row r="230" spans="1:4" ht="15">
      <c r="A230" s="47">
        <v>107</v>
      </c>
      <c r="B230" s="19">
        <f t="shared" si="9"/>
        <v>107</v>
      </c>
      <c r="C230" s="50">
        <v>0</v>
      </c>
      <c r="D230" s="19">
        <f t="shared" si="8"/>
        <v>0</v>
      </c>
    </row>
    <row r="231" spans="1:4" ht="15">
      <c r="A231" s="47">
        <v>108</v>
      </c>
      <c r="B231" s="19">
        <f t="shared" si="9"/>
        <v>108</v>
      </c>
      <c r="C231" s="50">
        <v>0</v>
      </c>
      <c r="D231" s="19">
        <f t="shared" si="8"/>
        <v>0</v>
      </c>
    </row>
    <row r="232" spans="1:4" ht="15">
      <c r="A232" s="47">
        <v>109</v>
      </c>
      <c r="B232" s="19">
        <f t="shared" si="9"/>
        <v>109</v>
      </c>
      <c r="C232" s="50">
        <v>0</v>
      </c>
      <c r="D232" s="19">
        <f t="shared" si="8"/>
        <v>0</v>
      </c>
    </row>
    <row r="233" spans="1:4" ht="15">
      <c r="A233" s="47">
        <v>110</v>
      </c>
      <c r="B233" s="19">
        <f t="shared" si="9"/>
        <v>110</v>
      </c>
      <c r="C233" s="50">
        <v>0</v>
      </c>
      <c r="D233" s="19">
        <f t="shared" si="8"/>
        <v>0</v>
      </c>
    </row>
    <row r="234" spans="1:4" ht="15">
      <c r="A234" s="47">
        <v>111</v>
      </c>
      <c r="B234" s="19">
        <f t="shared" si="9"/>
        <v>111</v>
      </c>
      <c r="C234" s="50">
        <v>0</v>
      </c>
      <c r="D234" s="19">
        <f t="shared" si="8"/>
        <v>0</v>
      </c>
    </row>
    <row r="235" spans="1:4" ht="15">
      <c r="A235" s="47">
        <v>112</v>
      </c>
      <c r="B235" s="19">
        <f t="shared" si="9"/>
        <v>112</v>
      </c>
      <c r="C235" s="50">
        <v>0</v>
      </c>
      <c r="D235" s="19">
        <f t="shared" si="8"/>
        <v>0</v>
      </c>
    </row>
    <row r="236" spans="1:4" ht="15">
      <c r="A236" s="47">
        <v>113</v>
      </c>
      <c r="B236" s="19">
        <f t="shared" si="9"/>
        <v>113</v>
      </c>
      <c r="C236" s="50">
        <v>0</v>
      </c>
      <c r="D236" s="19">
        <f t="shared" si="8"/>
        <v>0</v>
      </c>
    </row>
    <row r="237" spans="1:4" ht="15">
      <c r="A237" s="47">
        <v>114</v>
      </c>
      <c r="B237" s="19">
        <f t="shared" si="9"/>
        <v>114</v>
      </c>
      <c r="C237" s="50">
        <v>0</v>
      </c>
      <c r="D237" s="19">
        <f t="shared" si="8"/>
        <v>0</v>
      </c>
    </row>
    <row r="238" spans="1:4" ht="15">
      <c r="A238" s="47">
        <v>115</v>
      </c>
      <c r="B238" s="19">
        <f t="shared" si="9"/>
        <v>115</v>
      </c>
      <c r="C238" s="50">
        <v>0</v>
      </c>
      <c r="D238" s="19">
        <f t="shared" si="8"/>
        <v>0</v>
      </c>
    </row>
    <row r="239" spans="1:4" ht="15">
      <c r="A239" s="47">
        <v>116</v>
      </c>
      <c r="B239" s="19">
        <f t="shared" si="9"/>
        <v>116</v>
      </c>
      <c r="C239" s="50">
        <v>0</v>
      </c>
      <c r="D239" s="19">
        <f t="shared" si="8"/>
        <v>0</v>
      </c>
    </row>
    <row r="240" spans="1:4" ht="15">
      <c r="A240" s="47">
        <v>117</v>
      </c>
      <c r="B240" s="19">
        <f t="shared" si="9"/>
        <v>117</v>
      </c>
      <c r="C240" s="50">
        <v>0</v>
      </c>
      <c r="D240" s="19">
        <f t="shared" si="8"/>
        <v>0</v>
      </c>
    </row>
    <row r="241" ht="15"/>
    <row r="242" ht="15"/>
    <row r="243" ht="15"/>
    <row r="244" spans="1:3" ht="17.25">
      <c r="A244" s="42" t="s">
        <v>208</v>
      </c>
      <c r="B244" s="20">
        <v>0.0167</v>
      </c>
      <c r="C244" s="45"/>
    </row>
    <row r="245" spans="1:3" ht="15">
      <c r="A245" s="42" t="s">
        <v>313</v>
      </c>
      <c r="B245" s="19">
        <f>SUMPRODUCT(D120:D239+D121:D240,A121:A240-A120:A239)/2</f>
        <v>2542.834551657</v>
      </c>
      <c r="C245" s="45" t="s">
        <v>59</v>
      </c>
    </row>
    <row r="246" spans="1:3" ht="15">
      <c r="A246" s="42" t="s">
        <v>314</v>
      </c>
      <c r="B246" s="19">
        <f>IF(B245=0,1,B245/B111)</f>
        <v>254.2834551657</v>
      </c>
      <c r="C246" s="45" t="s">
        <v>59</v>
      </c>
    </row>
    <row r="247" ht="15"/>
    <row r="248" ht="15"/>
    <row r="249" ht="15">
      <c r="A249" s="25" t="s">
        <v>132</v>
      </c>
    </row>
    <row r="250" spans="1:5" ht="15">
      <c r="A250" s="12" t="s">
        <v>13</v>
      </c>
      <c r="B250" s="12">
        <v>11.93</v>
      </c>
      <c r="C250" s="12" t="s">
        <v>67</v>
      </c>
      <c r="D250" s="12" t="s">
        <v>2</v>
      </c>
      <c r="E250" s="12" t="s">
        <v>8</v>
      </c>
    </row>
    <row r="251" spans="1:5" ht="18">
      <c r="A251" s="42" t="s">
        <v>23</v>
      </c>
      <c r="B251" s="20">
        <v>10</v>
      </c>
      <c r="C251" s="19">
        <f>IF(B$88=TRUE,B251,0)</f>
        <v>0</v>
      </c>
      <c r="D251" s="19" t="s">
        <v>26</v>
      </c>
      <c r="E251" s="19" t="s">
        <v>163</v>
      </c>
    </row>
    <row r="252" spans="1:5" ht="18">
      <c r="A252" s="42" t="s">
        <v>25</v>
      </c>
      <c r="B252" s="20">
        <v>3.8054</v>
      </c>
      <c r="C252" s="19">
        <f>IF(OR(B87=TRUE,B$88=TRUE),B252,0)</f>
        <v>0</v>
      </c>
      <c r="D252" s="19" t="s">
        <v>26</v>
      </c>
      <c r="E252" s="19" t="s">
        <v>164</v>
      </c>
    </row>
    <row r="253" spans="1:5" ht="18">
      <c r="A253" s="42" t="s">
        <v>24</v>
      </c>
      <c r="B253" s="20">
        <v>12.9</v>
      </c>
      <c r="C253" s="19">
        <f>IF(OR(B87=TRUE,B88=TRUE),IF(OR(B90=TRUE,B91=TRUE),0,B253),0)</f>
        <v>0</v>
      </c>
      <c r="D253" s="19" t="s">
        <v>26</v>
      </c>
      <c r="E253" s="19" t="s">
        <v>301</v>
      </c>
    </row>
    <row r="254" spans="1:5" ht="18">
      <c r="A254" s="42" t="s">
        <v>72</v>
      </c>
      <c r="B254" s="79">
        <f>C88</f>
        <v>1.07</v>
      </c>
      <c r="C254" s="19" t="b">
        <f>IF(B88=TRUE,B254,FALSE)</f>
        <v>0</v>
      </c>
      <c r="D254" s="19" t="s">
        <v>19</v>
      </c>
      <c r="E254" s="19" t="s">
        <v>165</v>
      </c>
    </row>
    <row r="255" spans="1:5" ht="30">
      <c r="A255" s="42" t="s">
        <v>109</v>
      </c>
      <c r="B255" s="79" t="b">
        <f>IF(B88=FALSE,FALSE,IF(B87=TRUE,C87,0))</f>
        <v>0</v>
      </c>
      <c r="C255" s="19" t="b">
        <f>IF(B88=TRUE,B255,FALSE)</f>
        <v>0</v>
      </c>
      <c r="D255" s="19" t="s">
        <v>19</v>
      </c>
      <c r="E255" s="56" t="s">
        <v>289</v>
      </c>
    </row>
    <row r="256" spans="1:5" ht="15">
      <c r="A256" s="42" t="s">
        <v>244</v>
      </c>
      <c r="B256" s="79" t="b">
        <f>IF(OR(B90=TRUE,B91=TRUE),IF(B89=TRUE,E89,E88),FALSE)</f>
        <v>0</v>
      </c>
      <c r="C256" s="19" t="b">
        <f>IF(AND(B89=TRUE,B90=TRUE),B256,FALSE)</f>
        <v>0</v>
      </c>
      <c r="D256" s="19" t="s">
        <v>19</v>
      </c>
      <c r="E256" s="19" t="s">
        <v>246</v>
      </c>
    </row>
    <row r="257" spans="5:7" ht="15">
      <c r="E257" s="42" t="s">
        <v>137</v>
      </c>
      <c r="F257" s="34">
        <f>0.25*PI()*(2.277/12)^2</f>
        <v>0.02827830996051034</v>
      </c>
      <c r="G257" s="11" t="s">
        <v>144</v>
      </c>
    </row>
    <row r="258" spans="1:7" ht="15">
      <c r="A258" s="40" t="s">
        <v>54</v>
      </c>
      <c r="B258" s="103"/>
      <c r="C258" s="92" t="s">
        <v>287</v>
      </c>
      <c r="D258" s="93" t="b">
        <v>0</v>
      </c>
      <c r="E258" s="42" t="s">
        <v>135</v>
      </c>
      <c r="F258" s="34">
        <f>0.25*PI()*(2.277/12)^2</f>
        <v>0.02827830996051034</v>
      </c>
      <c r="G258" s="11" t="s">
        <v>144</v>
      </c>
    </row>
    <row r="259" spans="1:12" ht="15">
      <c r="A259" s="59" t="s">
        <v>115</v>
      </c>
      <c r="B259" s="59" t="s">
        <v>116</v>
      </c>
      <c r="C259" s="59" t="s">
        <v>293</v>
      </c>
      <c r="D259" s="59" t="s">
        <v>168</v>
      </c>
      <c r="E259" s="57" t="s">
        <v>55</v>
      </c>
      <c r="F259" s="42" t="s">
        <v>56</v>
      </c>
      <c r="G259" s="42" t="s">
        <v>57</v>
      </c>
      <c r="H259" s="42" t="s">
        <v>58</v>
      </c>
      <c r="I259" s="55"/>
      <c r="J259" s="46"/>
      <c r="K259" s="41"/>
      <c r="L259" s="41"/>
    </row>
    <row r="260" spans="1:12" ht="15">
      <c r="A260" s="47">
        <v>0</v>
      </c>
      <c r="B260" s="19">
        <f>A$260+D$88</f>
        <v>0</v>
      </c>
      <c r="C260" s="50">
        <v>0</v>
      </c>
      <c r="D260" s="19">
        <f>IF($D$258=TRUE,C260,IF(C260&gt;0,C260+B$12*B$383,0))</f>
        <v>0</v>
      </c>
      <c r="E260" s="58">
        <v>0</v>
      </c>
      <c r="F260" s="34">
        <v>0.37747</v>
      </c>
      <c r="G260" s="34">
        <v>0</v>
      </c>
      <c r="H260" s="19">
        <f>F260+G260*B$383/F$257</f>
        <v>0.37747</v>
      </c>
      <c r="I260" s="41"/>
      <c r="J260" s="41"/>
      <c r="K260" s="41"/>
      <c r="L260" s="41"/>
    </row>
    <row r="261" spans="1:12" ht="15">
      <c r="A261" s="34">
        <v>0.02</v>
      </c>
      <c r="B261" s="19">
        <f aca="true" t="shared" si="10" ref="B261:B305">B$260+A261</f>
        <v>0.02</v>
      </c>
      <c r="C261" s="50">
        <v>50</v>
      </c>
      <c r="D261" s="19">
        <f aca="true" t="shared" si="11" ref="D261:D324">IF($D$258=TRUE,C261,IF(C261&gt;0,C261+B$12*B$383,0))</f>
        <v>85.34102429999999</v>
      </c>
      <c r="E261" s="58">
        <v>0.1</v>
      </c>
      <c r="F261" s="34">
        <v>0.37747</v>
      </c>
      <c r="G261" s="34">
        <v>0</v>
      </c>
      <c r="H261" s="19">
        <f aca="true" t="shared" si="12" ref="H261:H279">F261+G261*B$383/F$257</f>
        <v>0.37747</v>
      </c>
      <c r="I261" s="41"/>
      <c r="J261" s="41"/>
      <c r="K261" s="41"/>
      <c r="L261" s="41"/>
    </row>
    <row r="262" spans="1:12" ht="15">
      <c r="A262" s="34">
        <v>0.07</v>
      </c>
      <c r="B262" s="19">
        <f t="shared" si="10"/>
        <v>0.07</v>
      </c>
      <c r="C262" s="50">
        <v>100</v>
      </c>
      <c r="D262" s="19">
        <f t="shared" si="11"/>
        <v>135.3410243</v>
      </c>
      <c r="E262" s="58">
        <v>0.3</v>
      </c>
      <c r="F262" s="34">
        <v>0.34525</v>
      </c>
      <c r="G262" s="34">
        <v>0</v>
      </c>
      <c r="H262" s="19">
        <f t="shared" si="12"/>
        <v>0.34525</v>
      </c>
      <c r="I262" s="41"/>
      <c r="J262" s="41"/>
      <c r="K262" s="41"/>
      <c r="L262" s="41"/>
    </row>
    <row r="263" spans="1:12" ht="15">
      <c r="A263" s="34">
        <v>0.12</v>
      </c>
      <c r="B263" s="19">
        <f t="shared" si="10"/>
        <v>0.12</v>
      </c>
      <c r="C263" s="50">
        <v>150</v>
      </c>
      <c r="D263" s="19">
        <f t="shared" si="11"/>
        <v>185.3410243</v>
      </c>
      <c r="E263" s="58">
        <v>0.4</v>
      </c>
      <c r="F263" s="34">
        <v>0.3359</v>
      </c>
      <c r="G263" s="34">
        <v>0</v>
      </c>
      <c r="H263" s="19">
        <f t="shared" si="12"/>
        <v>0.3359</v>
      </c>
      <c r="I263" s="41"/>
      <c r="J263" s="41"/>
      <c r="K263" s="41"/>
      <c r="L263" s="41"/>
    </row>
    <row r="264" spans="1:12" ht="15">
      <c r="A264" s="34">
        <v>0.17</v>
      </c>
      <c r="B264" s="19">
        <f t="shared" si="10"/>
        <v>0.17</v>
      </c>
      <c r="C264" s="50">
        <v>200</v>
      </c>
      <c r="D264" s="19">
        <f t="shared" si="11"/>
        <v>235.3410243</v>
      </c>
      <c r="E264" s="58">
        <v>0.5</v>
      </c>
      <c r="F264" s="34">
        <v>0.32791</v>
      </c>
      <c r="G264" s="34">
        <v>0</v>
      </c>
      <c r="H264" s="19">
        <f t="shared" si="12"/>
        <v>0.32791</v>
      </c>
      <c r="I264" s="41"/>
      <c r="J264" s="41"/>
      <c r="K264" s="41"/>
      <c r="L264" s="41"/>
    </row>
    <row r="265" spans="1:12" ht="15">
      <c r="A265" s="34">
        <v>0.22</v>
      </c>
      <c r="B265" s="19">
        <f t="shared" si="10"/>
        <v>0.22</v>
      </c>
      <c r="C265" s="50">
        <v>250</v>
      </c>
      <c r="D265" s="19">
        <f t="shared" si="11"/>
        <v>285.3410243</v>
      </c>
      <c r="E265" s="58">
        <v>0.6</v>
      </c>
      <c r="F265" s="34">
        <v>0.32043</v>
      </c>
      <c r="G265" s="34">
        <v>0</v>
      </c>
      <c r="H265" s="19">
        <f t="shared" si="12"/>
        <v>0.32043</v>
      </c>
      <c r="I265" s="41"/>
      <c r="J265" s="41"/>
      <c r="K265" s="41"/>
      <c r="L265" s="41"/>
    </row>
    <row r="266" spans="1:12" ht="15">
      <c r="A266" s="34">
        <v>0.27</v>
      </c>
      <c r="B266" s="19">
        <f t="shared" si="10"/>
        <v>0.27</v>
      </c>
      <c r="C266" s="50">
        <v>300</v>
      </c>
      <c r="D266" s="19">
        <f t="shared" si="11"/>
        <v>335.3410243</v>
      </c>
      <c r="E266" s="58">
        <v>0.7</v>
      </c>
      <c r="F266" s="34">
        <v>0.31302</v>
      </c>
      <c r="G266" s="34">
        <v>0</v>
      </c>
      <c r="H266" s="19">
        <f t="shared" si="12"/>
        <v>0.31302</v>
      </c>
      <c r="I266" s="41"/>
      <c r="J266" s="41"/>
      <c r="K266" s="41"/>
      <c r="L266" s="41"/>
    </row>
    <row r="267" spans="1:12" ht="15">
      <c r="A267" s="47">
        <v>0.32</v>
      </c>
      <c r="B267" s="19">
        <f t="shared" si="10"/>
        <v>0.32</v>
      </c>
      <c r="C267" s="50">
        <v>350</v>
      </c>
      <c r="D267" s="19">
        <f t="shared" si="11"/>
        <v>385.3410243</v>
      </c>
      <c r="E267" s="58">
        <v>0.8</v>
      </c>
      <c r="F267" s="34">
        <v>0.3113</v>
      </c>
      <c r="G267" s="34">
        <v>0</v>
      </c>
      <c r="H267" s="19">
        <f t="shared" si="12"/>
        <v>0.3113</v>
      </c>
      <c r="I267" s="41"/>
      <c r="J267" s="41"/>
      <c r="K267" s="41"/>
      <c r="L267" s="41"/>
    </row>
    <row r="268" spans="1:12" ht="15">
      <c r="A268" s="47">
        <v>0.37</v>
      </c>
      <c r="B268" s="19">
        <f t="shared" si="10"/>
        <v>0.37</v>
      </c>
      <c r="C268" s="50">
        <v>400</v>
      </c>
      <c r="D268" s="19">
        <f t="shared" si="11"/>
        <v>435.3410243</v>
      </c>
      <c r="E268" s="58">
        <v>0.9</v>
      </c>
      <c r="F268" s="20">
        <v>0.3307</v>
      </c>
      <c r="G268" s="34">
        <v>0</v>
      </c>
      <c r="H268" s="19">
        <f t="shared" si="12"/>
        <v>0.3307</v>
      </c>
      <c r="I268" s="41"/>
      <c r="J268" s="41"/>
      <c r="K268" s="41"/>
      <c r="L268" s="41"/>
    </row>
    <row r="269" spans="1:12" ht="15">
      <c r="A269" s="47">
        <v>0.42</v>
      </c>
      <c r="B269" s="19">
        <f t="shared" si="10"/>
        <v>0.42</v>
      </c>
      <c r="C269" s="50">
        <v>450</v>
      </c>
      <c r="D269" s="19">
        <f t="shared" si="11"/>
        <v>485.3410243</v>
      </c>
      <c r="E269" s="58">
        <v>1</v>
      </c>
      <c r="F269" s="20">
        <v>0.4177</v>
      </c>
      <c r="G269" s="34">
        <v>0</v>
      </c>
      <c r="H269" s="19">
        <f t="shared" si="12"/>
        <v>0.4177</v>
      </c>
      <c r="I269" s="41"/>
      <c r="J269" s="41"/>
      <c r="K269" s="41"/>
      <c r="L269" s="41"/>
    </row>
    <row r="270" spans="1:12" ht="15">
      <c r="A270" s="47">
        <v>0.47</v>
      </c>
      <c r="B270" s="19">
        <f t="shared" si="10"/>
        <v>0.47</v>
      </c>
      <c r="C270" s="50">
        <v>500</v>
      </c>
      <c r="D270" s="19">
        <f t="shared" si="11"/>
        <v>535.3410243</v>
      </c>
      <c r="E270" s="58">
        <v>1.1</v>
      </c>
      <c r="F270" s="20">
        <v>0.3983</v>
      </c>
      <c r="G270" s="34">
        <v>0</v>
      </c>
      <c r="H270" s="19">
        <f t="shared" si="12"/>
        <v>0.3983</v>
      </c>
      <c r="I270" s="41"/>
      <c r="J270" s="41"/>
      <c r="K270" s="41"/>
      <c r="L270" s="41"/>
    </row>
    <row r="271" spans="1:12" ht="15">
      <c r="A271" s="47">
        <v>0.52</v>
      </c>
      <c r="B271" s="19">
        <f t="shared" si="10"/>
        <v>0.52</v>
      </c>
      <c r="C271" s="50">
        <v>500</v>
      </c>
      <c r="D271" s="19">
        <f t="shared" si="11"/>
        <v>535.3410243</v>
      </c>
      <c r="E271" s="58">
        <v>1.2</v>
      </c>
      <c r="F271" s="20">
        <v>0.38046</v>
      </c>
      <c r="G271" s="34">
        <v>0</v>
      </c>
      <c r="H271" s="19">
        <f t="shared" si="12"/>
        <v>0.38046</v>
      </c>
      <c r="I271" s="41"/>
      <c r="J271" s="41"/>
      <c r="K271" s="41"/>
      <c r="L271" s="41"/>
    </row>
    <row r="272" spans="1:12" ht="15">
      <c r="A272" s="47">
        <v>0.57</v>
      </c>
      <c r="B272" s="19">
        <f t="shared" si="10"/>
        <v>0.57</v>
      </c>
      <c r="C272" s="50">
        <v>500</v>
      </c>
      <c r="D272" s="19">
        <f t="shared" si="11"/>
        <v>535.3410243</v>
      </c>
      <c r="E272" s="58">
        <v>1.3</v>
      </c>
      <c r="F272" s="20">
        <v>0.373</v>
      </c>
      <c r="G272" s="34">
        <v>0</v>
      </c>
      <c r="H272" s="19">
        <f t="shared" si="12"/>
        <v>0.373</v>
      </c>
      <c r="I272" s="41"/>
      <c r="J272" s="41"/>
      <c r="K272" s="41"/>
      <c r="L272" s="41"/>
    </row>
    <row r="273" spans="1:12" ht="15">
      <c r="A273" s="47">
        <v>0.72</v>
      </c>
      <c r="B273" s="19">
        <f t="shared" si="10"/>
        <v>0.72</v>
      </c>
      <c r="C273" s="50">
        <v>500</v>
      </c>
      <c r="D273" s="19">
        <f t="shared" si="11"/>
        <v>535.3410243</v>
      </c>
      <c r="E273" s="60">
        <v>1.4</v>
      </c>
      <c r="F273" s="20">
        <v>0.36394</v>
      </c>
      <c r="G273" s="34">
        <v>0</v>
      </c>
      <c r="H273" s="19">
        <f t="shared" si="12"/>
        <v>0.36394</v>
      </c>
      <c r="I273" s="41"/>
      <c r="J273" s="41"/>
      <c r="K273" s="41"/>
      <c r="L273" s="41"/>
    </row>
    <row r="274" spans="1:12" ht="15">
      <c r="A274" s="47">
        <v>0.77</v>
      </c>
      <c r="B274" s="19">
        <f t="shared" si="10"/>
        <v>0.77</v>
      </c>
      <c r="C274" s="50">
        <v>500</v>
      </c>
      <c r="D274" s="19">
        <f t="shared" si="11"/>
        <v>535.3410243</v>
      </c>
      <c r="E274" s="60">
        <v>1.5</v>
      </c>
      <c r="F274" s="20">
        <v>0.35468</v>
      </c>
      <c r="G274" s="34">
        <v>0</v>
      </c>
      <c r="H274" s="19">
        <f t="shared" si="12"/>
        <v>0.35468</v>
      </c>
      <c r="I274" s="41"/>
      <c r="J274" s="41"/>
      <c r="K274" s="41"/>
      <c r="L274" s="41"/>
    </row>
    <row r="275" spans="1:12" ht="15">
      <c r="A275" s="47">
        <v>0.82</v>
      </c>
      <c r="B275" s="19">
        <f t="shared" si="10"/>
        <v>0.82</v>
      </c>
      <c r="C275" s="50">
        <v>400</v>
      </c>
      <c r="D275" s="19">
        <f t="shared" si="11"/>
        <v>435.3410243</v>
      </c>
      <c r="E275" s="60">
        <v>1.6</v>
      </c>
      <c r="F275" s="20">
        <v>0.338782666666667</v>
      </c>
      <c r="G275" s="34">
        <v>0</v>
      </c>
      <c r="H275" s="19">
        <f t="shared" si="12"/>
        <v>0.338782666666667</v>
      </c>
      <c r="I275" s="41"/>
      <c r="J275" s="41"/>
      <c r="K275" s="41"/>
      <c r="L275" s="41"/>
    </row>
    <row r="276" spans="1:12" ht="15">
      <c r="A276" s="47">
        <v>0.87</v>
      </c>
      <c r="B276" s="19">
        <f t="shared" si="10"/>
        <v>0.87</v>
      </c>
      <c r="C276" s="50">
        <v>300</v>
      </c>
      <c r="D276" s="19">
        <f t="shared" si="11"/>
        <v>335.3410243</v>
      </c>
      <c r="E276" s="60">
        <v>1.7</v>
      </c>
      <c r="F276" s="20">
        <v>0.326621523809524</v>
      </c>
      <c r="G276" s="34">
        <v>0</v>
      </c>
      <c r="H276" s="19">
        <f t="shared" si="12"/>
        <v>0.326621523809524</v>
      </c>
      <c r="I276" s="41"/>
      <c r="J276" s="41"/>
      <c r="K276" s="41"/>
      <c r="L276" s="41"/>
    </row>
    <row r="277" spans="1:12" ht="15">
      <c r="A277" s="47">
        <v>0.92</v>
      </c>
      <c r="B277" s="19">
        <f t="shared" si="10"/>
        <v>0.92</v>
      </c>
      <c r="C277" s="50">
        <v>200</v>
      </c>
      <c r="D277" s="19">
        <f t="shared" si="11"/>
        <v>235.3410243</v>
      </c>
      <c r="E277" s="60">
        <v>1.8</v>
      </c>
      <c r="F277" s="20">
        <v>0.314460380952381</v>
      </c>
      <c r="G277" s="34">
        <v>0</v>
      </c>
      <c r="H277" s="19">
        <f t="shared" si="12"/>
        <v>0.314460380952381</v>
      </c>
      <c r="I277" s="41"/>
      <c r="J277" s="41"/>
      <c r="K277" s="41"/>
      <c r="L277" s="41"/>
    </row>
    <row r="278" spans="1:12" ht="15">
      <c r="A278" s="47">
        <v>0.97</v>
      </c>
      <c r="B278" s="19">
        <f t="shared" si="10"/>
        <v>0.97</v>
      </c>
      <c r="C278" s="50">
        <v>100</v>
      </c>
      <c r="D278" s="19">
        <f t="shared" si="11"/>
        <v>135.3410243</v>
      </c>
      <c r="E278" s="60">
        <v>1.9</v>
      </c>
      <c r="F278" s="20">
        <v>0.302299238095238</v>
      </c>
      <c r="G278" s="34">
        <v>0</v>
      </c>
      <c r="H278" s="19">
        <f t="shared" si="12"/>
        <v>0.302299238095238</v>
      </c>
      <c r="I278" s="41"/>
      <c r="J278" s="41"/>
      <c r="K278" s="41"/>
      <c r="L278" s="41"/>
    </row>
    <row r="279" spans="1:12" ht="15">
      <c r="A279" s="47">
        <v>1.02</v>
      </c>
      <c r="B279" s="19">
        <f t="shared" si="10"/>
        <v>1.02</v>
      </c>
      <c r="C279" s="50">
        <v>10</v>
      </c>
      <c r="D279" s="19">
        <f t="shared" si="11"/>
        <v>45.341024299999994</v>
      </c>
      <c r="E279" s="60">
        <v>2</v>
      </c>
      <c r="F279" s="20">
        <v>0.290138095238095</v>
      </c>
      <c r="G279" s="34">
        <v>0</v>
      </c>
      <c r="H279" s="19">
        <f t="shared" si="12"/>
        <v>0.290138095238095</v>
      </c>
      <c r="I279" s="41"/>
      <c r="J279" s="41"/>
      <c r="K279" s="41"/>
      <c r="L279" s="41"/>
    </row>
    <row r="280" spans="1:4" ht="15">
      <c r="A280" s="47">
        <v>1.07</v>
      </c>
      <c r="B280" s="19">
        <f t="shared" si="10"/>
        <v>1.07</v>
      </c>
      <c r="C280" s="50">
        <v>0</v>
      </c>
      <c r="D280" s="19">
        <f t="shared" si="11"/>
        <v>0</v>
      </c>
    </row>
    <row r="281" spans="1:4" ht="15">
      <c r="A281" s="47">
        <v>1.12</v>
      </c>
      <c r="B281" s="19">
        <f t="shared" si="10"/>
        <v>1.12</v>
      </c>
      <c r="C281" s="50">
        <v>0</v>
      </c>
      <c r="D281" s="19">
        <f t="shared" si="11"/>
        <v>0</v>
      </c>
    </row>
    <row r="282" spans="1:4" ht="15">
      <c r="A282" s="47">
        <v>1.27</v>
      </c>
      <c r="B282" s="19">
        <f t="shared" si="10"/>
        <v>1.27</v>
      </c>
      <c r="C282" s="50">
        <v>0</v>
      </c>
      <c r="D282" s="19">
        <f t="shared" si="11"/>
        <v>0</v>
      </c>
    </row>
    <row r="283" spans="1:4" ht="15">
      <c r="A283" s="47">
        <v>1.32</v>
      </c>
      <c r="B283" s="19">
        <f t="shared" si="10"/>
        <v>1.32</v>
      </c>
      <c r="C283" s="50">
        <v>0</v>
      </c>
      <c r="D283" s="19">
        <f t="shared" si="11"/>
        <v>0</v>
      </c>
    </row>
    <row r="284" spans="1:4" ht="15">
      <c r="A284" s="47">
        <v>1.37</v>
      </c>
      <c r="B284" s="19">
        <f t="shared" si="10"/>
        <v>1.37</v>
      </c>
      <c r="C284" s="50">
        <v>0</v>
      </c>
      <c r="D284" s="19">
        <f t="shared" si="11"/>
        <v>0</v>
      </c>
    </row>
    <row r="285" spans="1:7" ht="15">
      <c r="A285" s="47">
        <v>1.42</v>
      </c>
      <c r="B285" s="19">
        <f t="shared" si="10"/>
        <v>1.42</v>
      </c>
      <c r="C285" s="50">
        <v>0</v>
      </c>
      <c r="D285" s="19">
        <f t="shared" si="11"/>
        <v>0</v>
      </c>
      <c r="F285" s="41"/>
      <c r="G285" s="41"/>
    </row>
    <row r="286" spans="1:7" ht="15">
      <c r="A286" s="47">
        <v>1.47</v>
      </c>
      <c r="B286" s="19">
        <f t="shared" si="10"/>
        <v>1.47</v>
      </c>
      <c r="C286" s="50">
        <v>0</v>
      </c>
      <c r="D286" s="19">
        <f t="shared" si="11"/>
        <v>0</v>
      </c>
      <c r="F286" s="41"/>
      <c r="G286" s="41"/>
    </row>
    <row r="287" spans="1:7" ht="15">
      <c r="A287" s="47">
        <v>1.52</v>
      </c>
      <c r="B287" s="19">
        <f t="shared" si="10"/>
        <v>1.52</v>
      </c>
      <c r="C287" s="50">
        <v>0</v>
      </c>
      <c r="D287" s="19">
        <f t="shared" si="11"/>
        <v>0</v>
      </c>
      <c r="F287" s="41"/>
      <c r="G287" s="41"/>
    </row>
    <row r="288" spans="1:7" ht="15">
      <c r="A288" s="47">
        <v>1.57</v>
      </c>
      <c r="B288" s="19">
        <f t="shared" si="10"/>
        <v>1.57</v>
      </c>
      <c r="C288" s="50">
        <v>0</v>
      </c>
      <c r="D288" s="19">
        <f t="shared" si="11"/>
        <v>0</v>
      </c>
      <c r="F288" s="41"/>
      <c r="G288" s="41"/>
    </row>
    <row r="289" spans="1:7" ht="15">
      <c r="A289" s="47">
        <v>1.61</v>
      </c>
      <c r="B289" s="19">
        <f t="shared" si="10"/>
        <v>1.61</v>
      </c>
      <c r="C289" s="50">
        <v>0</v>
      </c>
      <c r="D289" s="19">
        <f t="shared" si="11"/>
        <v>0</v>
      </c>
      <c r="F289" s="41"/>
      <c r="G289" s="41"/>
    </row>
    <row r="290" spans="1:7" ht="15">
      <c r="A290" s="47">
        <v>1.66</v>
      </c>
      <c r="B290" s="19">
        <f t="shared" si="10"/>
        <v>1.66</v>
      </c>
      <c r="C290" s="50">
        <v>0</v>
      </c>
      <c r="D290" s="19">
        <f t="shared" si="11"/>
        <v>0</v>
      </c>
      <c r="F290" s="41"/>
      <c r="G290" s="41"/>
    </row>
    <row r="291" spans="1:7" ht="15">
      <c r="A291" s="47">
        <v>1.71</v>
      </c>
      <c r="B291" s="19">
        <f t="shared" si="10"/>
        <v>1.71</v>
      </c>
      <c r="C291" s="50">
        <v>0</v>
      </c>
      <c r="D291" s="19">
        <f t="shared" si="11"/>
        <v>0</v>
      </c>
      <c r="F291" s="41"/>
      <c r="G291" s="41"/>
    </row>
    <row r="292" spans="1:7" ht="15">
      <c r="A292" s="47">
        <v>1.86</v>
      </c>
      <c r="B292" s="19">
        <f t="shared" si="10"/>
        <v>1.86</v>
      </c>
      <c r="C292" s="50">
        <v>0</v>
      </c>
      <c r="D292" s="19">
        <f t="shared" si="11"/>
        <v>0</v>
      </c>
      <c r="F292" s="41"/>
      <c r="G292" s="41"/>
    </row>
    <row r="293" spans="1:7" ht="15">
      <c r="A293" s="47">
        <v>1.91</v>
      </c>
      <c r="B293" s="19">
        <f t="shared" si="10"/>
        <v>1.91</v>
      </c>
      <c r="C293" s="50">
        <v>0</v>
      </c>
      <c r="D293" s="19">
        <f t="shared" si="11"/>
        <v>0</v>
      </c>
      <c r="F293" s="41"/>
      <c r="G293" s="41"/>
    </row>
    <row r="294" spans="1:7" ht="15">
      <c r="A294" s="47">
        <v>1.96</v>
      </c>
      <c r="B294" s="19">
        <f t="shared" si="10"/>
        <v>1.96</v>
      </c>
      <c r="C294" s="50">
        <v>0</v>
      </c>
      <c r="D294" s="19">
        <f t="shared" si="11"/>
        <v>0</v>
      </c>
      <c r="F294" s="41"/>
      <c r="G294" s="41"/>
    </row>
    <row r="295" spans="1:7" ht="15">
      <c r="A295" s="47">
        <v>2.01</v>
      </c>
      <c r="B295" s="19">
        <f t="shared" si="10"/>
        <v>2.01</v>
      </c>
      <c r="C295" s="50">
        <v>0</v>
      </c>
      <c r="D295" s="19">
        <f t="shared" si="11"/>
        <v>0</v>
      </c>
      <c r="F295" s="41"/>
      <c r="G295" s="41"/>
    </row>
    <row r="296" spans="1:7" ht="15">
      <c r="A296" s="47">
        <v>2.06</v>
      </c>
      <c r="B296" s="19">
        <f t="shared" si="10"/>
        <v>2.06</v>
      </c>
      <c r="C296" s="50">
        <v>0</v>
      </c>
      <c r="D296" s="19">
        <f t="shared" si="11"/>
        <v>0</v>
      </c>
      <c r="F296" s="41"/>
      <c r="G296" s="41"/>
    </row>
    <row r="297" spans="1:7" ht="15">
      <c r="A297" s="47">
        <v>2.11</v>
      </c>
      <c r="B297" s="19">
        <f t="shared" si="10"/>
        <v>2.11</v>
      </c>
      <c r="C297" s="50">
        <v>0</v>
      </c>
      <c r="D297" s="19">
        <f t="shared" si="11"/>
        <v>0</v>
      </c>
      <c r="F297" s="41"/>
      <c r="G297" s="41"/>
    </row>
    <row r="298" spans="1:7" ht="15">
      <c r="A298" s="47">
        <v>2.16</v>
      </c>
      <c r="B298" s="19">
        <f t="shared" si="10"/>
        <v>2.16</v>
      </c>
      <c r="C298" s="50">
        <v>0</v>
      </c>
      <c r="D298" s="19">
        <f t="shared" si="11"/>
        <v>0</v>
      </c>
      <c r="F298" s="41"/>
      <c r="G298" s="41"/>
    </row>
    <row r="299" spans="1:7" ht="15">
      <c r="A299" s="47">
        <v>2.21</v>
      </c>
      <c r="B299" s="19">
        <f t="shared" si="10"/>
        <v>2.21</v>
      </c>
      <c r="C299" s="50">
        <v>0</v>
      </c>
      <c r="D299" s="19">
        <f t="shared" si="11"/>
        <v>0</v>
      </c>
      <c r="F299" s="41"/>
      <c r="G299" s="41"/>
    </row>
    <row r="300" spans="1:7" ht="15">
      <c r="A300" s="47">
        <v>2.26</v>
      </c>
      <c r="B300" s="19">
        <f t="shared" si="10"/>
        <v>2.26</v>
      </c>
      <c r="C300" s="50">
        <v>0</v>
      </c>
      <c r="D300" s="19">
        <f t="shared" si="11"/>
        <v>0</v>
      </c>
      <c r="F300" s="41"/>
      <c r="G300" s="41"/>
    </row>
    <row r="301" spans="1:7" ht="15">
      <c r="A301" s="47">
        <v>2.31</v>
      </c>
      <c r="B301" s="19">
        <f t="shared" si="10"/>
        <v>2.31</v>
      </c>
      <c r="C301" s="50">
        <v>0</v>
      </c>
      <c r="D301" s="19">
        <f t="shared" si="11"/>
        <v>0</v>
      </c>
      <c r="F301" s="41"/>
      <c r="G301" s="41"/>
    </row>
    <row r="302" spans="1:7" ht="15">
      <c r="A302" s="47">
        <v>2.36</v>
      </c>
      <c r="B302" s="19">
        <f t="shared" si="10"/>
        <v>2.36</v>
      </c>
      <c r="C302" s="50">
        <v>0</v>
      </c>
      <c r="D302" s="19">
        <f t="shared" si="11"/>
        <v>0</v>
      </c>
      <c r="F302" s="41"/>
      <c r="G302" s="41"/>
    </row>
    <row r="303" spans="1:7" ht="15">
      <c r="A303" s="47">
        <v>2.41</v>
      </c>
      <c r="B303" s="19">
        <f t="shared" si="10"/>
        <v>2.41</v>
      </c>
      <c r="C303" s="50">
        <v>0</v>
      </c>
      <c r="D303" s="19">
        <f t="shared" si="11"/>
        <v>0</v>
      </c>
      <c r="F303" s="41"/>
      <c r="G303" s="41"/>
    </row>
    <row r="304" spans="1:7" ht="15">
      <c r="A304" s="47">
        <v>2.56</v>
      </c>
      <c r="B304" s="19">
        <f t="shared" si="10"/>
        <v>2.56</v>
      </c>
      <c r="C304" s="50">
        <v>0</v>
      </c>
      <c r="D304" s="19">
        <f t="shared" si="11"/>
        <v>0</v>
      </c>
      <c r="F304" s="41"/>
      <c r="G304" s="41"/>
    </row>
    <row r="305" spans="1:4" ht="15">
      <c r="A305" s="47">
        <v>2.61</v>
      </c>
      <c r="B305" s="19">
        <f t="shared" si="10"/>
        <v>2.61</v>
      </c>
      <c r="C305" s="50">
        <v>0</v>
      </c>
      <c r="D305" s="19">
        <f t="shared" si="11"/>
        <v>0</v>
      </c>
    </row>
    <row r="306" spans="1:4" ht="15">
      <c r="A306" s="47">
        <v>2.66</v>
      </c>
      <c r="B306" s="19">
        <f aca="true" t="shared" si="13" ref="B306:B369">B$260+A306</f>
        <v>2.66</v>
      </c>
      <c r="C306" s="50">
        <v>0</v>
      </c>
      <c r="D306" s="19">
        <f t="shared" si="11"/>
        <v>0</v>
      </c>
    </row>
    <row r="307" spans="1:4" ht="15">
      <c r="A307" s="47">
        <v>2.71</v>
      </c>
      <c r="B307" s="19">
        <f t="shared" si="13"/>
        <v>2.71</v>
      </c>
      <c r="C307" s="50">
        <v>0</v>
      </c>
      <c r="D307" s="19">
        <f t="shared" si="11"/>
        <v>0</v>
      </c>
    </row>
    <row r="308" spans="1:4" ht="15">
      <c r="A308" s="47">
        <v>2.76</v>
      </c>
      <c r="B308" s="19">
        <f t="shared" si="13"/>
        <v>2.76</v>
      </c>
      <c r="C308" s="50">
        <v>0</v>
      </c>
      <c r="D308" s="19">
        <f t="shared" si="11"/>
        <v>0</v>
      </c>
    </row>
    <row r="309" spans="1:4" ht="15">
      <c r="A309" s="47">
        <v>2.81</v>
      </c>
      <c r="B309" s="19">
        <f t="shared" si="13"/>
        <v>2.81</v>
      </c>
      <c r="C309" s="50">
        <v>0</v>
      </c>
      <c r="D309" s="19">
        <f t="shared" si="11"/>
        <v>0</v>
      </c>
    </row>
    <row r="310" spans="1:4" ht="15">
      <c r="A310" s="47">
        <v>2.86</v>
      </c>
      <c r="B310" s="19">
        <f t="shared" si="13"/>
        <v>2.86</v>
      </c>
      <c r="C310" s="50">
        <v>0</v>
      </c>
      <c r="D310" s="19">
        <f t="shared" si="11"/>
        <v>0</v>
      </c>
    </row>
    <row r="311" spans="1:4" ht="15">
      <c r="A311" s="47">
        <v>2.91</v>
      </c>
      <c r="B311" s="19">
        <f t="shared" si="13"/>
        <v>2.91</v>
      </c>
      <c r="C311" s="50">
        <v>0</v>
      </c>
      <c r="D311" s="19">
        <f t="shared" si="11"/>
        <v>0</v>
      </c>
    </row>
    <row r="312" spans="1:4" ht="15">
      <c r="A312" s="47">
        <v>2.96</v>
      </c>
      <c r="B312" s="19">
        <f t="shared" si="13"/>
        <v>2.96</v>
      </c>
      <c r="C312" s="50">
        <v>0</v>
      </c>
      <c r="D312" s="19">
        <f t="shared" si="11"/>
        <v>0</v>
      </c>
    </row>
    <row r="313" spans="1:4" ht="15">
      <c r="A313" s="47">
        <v>3.01</v>
      </c>
      <c r="B313" s="19">
        <f t="shared" si="13"/>
        <v>3.01</v>
      </c>
      <c r="C313" s="50">
        <v>0</v>
      </c>
      <c r="D313" s="19">
        <f t="shared" si="11"/>
        <v>0</v>
      </c>
    </row>
    <row r="314" spans="1:4" ht="15">
      <c r="A314" s="47">
        <v>3.06</v>
      </c>
      <c r="B314" s="19">
        <f t="shared" si="13"/>
        <v>3.06</v>
      </c>
      <c r="C314" s="50">
        <v>0</v>
      </c>
      <c r="D314" s="19">
        <f t="shared" si="11"/>
        <v>0</v>
      </c>
    </row>
    <row r="315" spans="1:4" ht="15">
      <c r="A315" s="47">
        <v>3.11</v>
      </c>
      <c r="B315" s="19">
        <f t="shared" si="13"/>
        <v>3.11</v>
      </c>
      <c r="C315" s="50">
        <v>0</v>
      </c>
      <c r="D315" s="19">
        <f t="shared" si="11"/>
        <v>0</v>
      </c>
    </row>
    <row r="316" spans="1:4" ht="15">
      <c r="A316" s="47">
        <v>3.26</v>
      </c>
      <c r="B316" s="19">
        <f t="shared" si="13"/>
        <v>3.26</v>
      </c>
      <c r="C316" s="50">
        <v>0</v>
      </c>
      <c r="D316" s="19">
        <f t="shared" si="11"/>
        <v>0</v>
      </c>
    </row>
    <row r="317" spans="1:4" ht="15">
      <c r="A317" s="47">
        <v>3.31</v>
      </c>
      <c r="B317" s="19">
        <f t="shared" si="13"/>
        <v>3.31</v>
      </c>
      <c r="C317" s="50">
        <v>0</v>
      </c>
      <c r="D317" s="19">
        <f t="shared" si="11"/>
        <v>0</v>
      </c>
    </row>
    <row r="318" spans="1:4" ht="15">
      <c r="A318" s="47">
        <v>3.36</v>
      </c>
      <c r="B318" s="19">
        <f t="shared" si="13"/>
        <v>3.36</v>
      </c>
      <c r="C318" s="50">
        <v>0</v>
      </c>
      <c r="D318" s="19">
        <f t="shared" si="11"/>
        <v>0</v>
      </c>
    </row>
    <row r="319" spans="1:4" ht="15">
      <c r="A319" s="47">
        <v>3.41</v>
      </c>
      <c r="B319" s="19">
        <f t="shared" si="13"/>
        <v>3.41</v>
      </c>
      <c r="C319" s="50">
        <v>0</v>
      </c>
      <c r="D319" s="19">
        <f t="shared" si="11"/>
        <v>0</v>
      </c>
    </row>
    <row r="320" spans="1:4" ht="15">
      <c r="A320" s="47">
        <v>3.46</v>
      </c>
      <c r="B320" s="19">
        <f t="shared" si="13"/>
        <v>3.46</v>
      </c>
      <c r="C320" s="50">
        <v>0</v>
      </c>
      <c r="D320" s="19">
        <f t="shared" si="11"/>
        <v>0</v>
      </c>
    </row>
    <row r="321" spans="1:4" ht="15">
      <c r="A321" s="47">
        <v>3.6</v>
      </c>
      <c r="B321" s="19">
        <f t="shared" si="13"/>
        <v>3.6</v>
      </c>
      <c r="C321" s="50">
        <v>0</v>
      </c>
      <c r="D321" s="19">
        <f t="shared" si="11"/>
        <v>0</v>
      </c>
    </row>
    <row r="322" spans="1:4" ht="15">
      <c r="A322" s="47">
        <v>3.65</v>
      </c>
      <c r="B322" s="19">
        <f t="shared" si="13"/>
        <v>3.65</v>
      </c>
      <c r="C322" s="50">
        <v>0</v>
      </c>
      <c r="D322" s="19">
        <f t="shared" si="11"/>
        <v>0</v>
      </c>
    </row>
    <row r="323" spans="1:4" ht="15">
      <c r="A323" s="47">
        <v>3.7</v>
      </c>
      <c r="B323" s="19">
        <f t="shared" si="13"/>
        <v>3.7</v>
      </c>
      <c r="C323" s="50">
        <v>0</v>
      </c>
      <c r="D323" s="19">
        <f t="shared" si="11"/>
        <v>0</v>
      </c>
    </row>
    <row r="324" spans="1:4" ht="15">
      <c r="A324" s="47">
        <v>3.75</v>
      </c>
      <c r="B324" s="19">
        <f t="shared" si="13"/>
        <v>3.75</v>
      </c>
      <c r="C324" s="50">
        <v>0</v>
      </c>
      <c r="D324" s="19">
        <f t="shared" si="11"/>
        <v>0</v>
      </c>
    </row>
    <row r="325" spans="1:4" ht="15">
      <c r="A325" s="47">
        <v>3.8</v>
      </c>
      <c r="B325" s="19">
        <f t="shared" si="13"/>
        <v>3.8</v>
      </c>
      <c r="C325" s="50">
        <v>0</v>
      </c>
      <c r="D325" s="19">
        <f aca="true" t="shared" si="14" ref="D325:D380">IF($D$258=TRUE,C325,IF(C325&gt;0,C325+B$12*B$383,0))</f>
        <v>0</v>
      </c>
    </row>
    <row r="326" spans="1:4" ht="15">
      <c r="A326" s="47">
        <v>3.85</v>
      </c>
      <c r="B326" s="19">
        <f t="shared" si="13"/>
        <v>3.85</v>
      </c>
      <c r="C326" s="50">
        <v>0</v>
      </c>
      <c r="D326" s="19">
        <f t="shared" si="14"/>
        <v>0</v>
      </c>
    </row>
    <row r="327" spans="1:4" ht="15">
      <c r="A327" s="47">
        <v>3.9</v>
      </c>
      <c r="B327" s="19">
        <f t="shared" si="13"/>
        <v>3.9</v>
      </c>
      <c r="C327" s="50">
        <v>0</v>
      </c>
      <c r="D327" s="19">
        <f t="shared" si="14"/>
        <v>0</v>
      </c>
    </row>
    <row r="328" spans="1:4" ht="15">
      <c r="A328" s="47">
        <v>3.95</v>
      </c>
      <c r="B328" s="19">
        <f t="shared" si="13"/>
        <v>3.95</v>
      </c>
      <c r="C328" s="50">
        <v>0</v>
      </c>
      <c r="D328" s="19">
        <f t="shared" si="14"/>
        <v>0</v>
      </c>
    </row>
    <row r="329" spans="1:4" ht="15">
      <c r="A329" s="47">
        <v>4</v>
      </c>
      <c r="B329" s="19">
        <f t="shared" si="13"/>
        <v>4</v>
      </c>
      <c r="C329" s="50">
        <v>0</v>
      </c>
      <c r="D329" s="19">
        <f t="shared" si="14"/>
        <v>0</v>
      </c>
    </row>
    <row r="330" spans="1:4" ht="15">
      <c r="A330" s="47">
        <v>4.05</v>
      </c>
      <c r="B330" s="19">
        <f t="shared" si="13"/>
        <v>4.05</v>
      </c>
      <c r="C330" s="50">
        <v>0</v>
      </c>
      <c r="D330" s="19">
        <f t="shared" si="14"/>
        <v>0</v>
      </c>
    </row>
    <row r="331" spans="1:4" ht="15">
      <c r="A331" s="47">
        <v>4.2</v>
      </c>
      <c r="B331" s="19">
        <f t="shared" si="13"/>
        <v>4.2</v>
      </c>
      <c r="C331" s="50">
        <v>0</v>
      </c>
      <c r="D331" s="19">
        <f t="shared" si="14"/>
        <v>0</v>
      </c>
    </row>
    <row r="332" spans="1:4" ht="15">
      <c r="A332" s="47">
        <v>4.25</v>
      </c>
      <c r="B332" s="19">
        <f t="shared" si="13"/>
        <v>4.25</v>
      </c>
      <c r="C332" s="50">
        <v>0</v>
      </c>
      <c r="D332" s="19">
        <f t="shared" si="14"/>
        <v>0</v>
      </c>
    </row>
    <row r="333" spans="1:4" ht="15">
      <c r="A333" s="47">
        <v>4.3</v>
      </c>
      <c r="B333" s="19">
        <f t="shared" si="13"/>
        <v>4.3</v>
      </c>
      <c r="C333" s="50">
        <v>0</v>
      </c>
      <c r="D333" s="19">
        <f t="shared" si="14"/>
        <v>0</v>
      </c>
    </row>
    <row r="334" spans="1:4" ht="15">
      <c r="A334" s="47">
        <v>4.35</v>
      </c>
      <c r="B334" s="19">
        <f t="shared" si="13"/>
        <v>4.35</v>
      </c>
      <c r="C334" s="50">
        <v>0</v>
      </c>
      <c r="D334" s="19">
        <f t="shared" si="14"/>
        <v>0</v>
      </c>
    </row>
    <row r="335" spans="1:4" ht="15">
      <c r="A335" s="47">
        <v>4.4</v>
      </c>
      <c r="B335" s="19">
        <f t="shared" si="13"/>
        <v>4.4</v>
      </c>
      <c r="C335" s="50">
        <v>0</v>
      </c>
      <c r="D335" s="19">
        <f t="shared" si="14"/>
        <v>0</v>
      </c>
    </row>
    <row r="336" spans="1:4" ht="15">
      <c r="A336" s="47">
        <v>4.45</v>
      </c>
      <c r="B336" s="19">
        <f t="shared" si="13"/>
        <v>4.45</v>
      </c>
      <c r="C336" s="50">
        <v>0</v>
      </c>
      <c r="D336" s="19">
        <f t="shared" si="14"/>
        <v>0</v>
      </c>
    </row>
    <row r="337" spans="1:4" ht="15">
      <c r="A337" s="47">
        <v>4.5</v>
      </c>
      <c r="B337" s="19">
        <f t="shared" si="13"/>
        <v>4.5</v>
      </c>
      <c r="C337" s="50">
        <v>0</v>
      </c>
      <c r="D337" s="19">
        <f t="shared" si="14"/>
        <v>0</v>
      </c>
    </row>
    <row r="338" spans="1:4" ht="15">
      <c r="A338" s="47">
        <v>4.55</v>
      </c>
      <c r="B338" s="19">
        <f t="shared" si="13"/>
        <v>4.55</v>
      </c>
      <c r="C338" s="50">
        <v>0</v>
      </c>
      <c r="D338" s="19">
        <f t="shared" si="14"/>
        <v>0</v>
      </c>
    </row>
    <row r="339" spans="1:4" ht="15">
      <c r="A339" s="47">
        <v>4.6</v>
      </c>
      <c r="B339" s="19">
        <f t="shared" si="13"/>
        <v>4.6</v>
      </c>
      <c r="C339" s="50">
        <v>0</v>
      </c>
      <c r="D339" s="19">
        <f t="shared" si="14"/>
        <v>0</v>
      </c>
    </row>
    <row r="340" spans="1:4" ht="15">
      <c r="A340" s="47">
        <v>4.65</v>
      </c>
      <c r="B340" s="19">
        <f t="shared" si="13"/>
        <v>4.65</v>
      </c>
      <c r="C340" s="50">
        <v>0</v>
      </c>
      <c r="D340" s="19">
        <f t="shared" si="14"/>
        <v>0</v>
      </c>
    </row>
    <row r="341" spans="1:4" ht="15">
      <c r="A341" s="47">
        <v>4.7</v>
      </c>
      <c r="B341" s="19">
        <f t="shared" si="13"/>
        <v>4.7</v>
      </c>
      <c r="C341" s="50">
        <v>0</v>
      </c>
      <c r="D341" s="19">
        <f t="shared" si="14"/>
        <v>0</v>
      </c>
    </row>
    <row r="342" spans="1:4" ht="15">
      <c r="A342" s="47">
        <v>4.75</v>
      </c>
      <c r="B342" s="19">
        <f t="shared" si="13"/>
        <v>4.75</v>
      </c>
      <c r="C342" s="50">
        <v>0</v>
      </c>
      <c r="D342" s="19">
        <f t="shared" si="14"/>
        <v>0</v>
      </c>
    </row>
    <row r="343" spans="1:4" ht="15">
      <c r="A343" s="47">
        <v>4.9</v>
      </c>
      <c r="B343" s="19">
        <f t="shared" si="13"/>
        <v>4.9</v>
      </c>
      <c r="C343" s="50">
        <v>0</v>
      </c>
      <c r="D343" s="19">
        <f t="shared" si="14"/>
        <v>0</v>
      </c>
    </row>
    <row r="344" spans="1:4" ht="15">
      <c r="A344" s="47">
        <v>4.95</v>
      </c>
      <c r="B344" s="19">
        <f t="shared" si="13"/>
        <v>4.95</v>
      </c>
      <c r="C344" s="50">
        <v>0</v>
      </c>
      <c r="D344" s="19">
        <f t="shared" si="14"/>
        <v>0</v>
      </c>
    </row>
    <row r="345" spans="1:4" ht="15">
      <c r="A345" s="47">
        <v>5</v>
      </c>
      <c r="B345" s="19">
        <f t="shared" si="13"/>
        <v>5</v>
      </c>
      <c r="C345" s="50">
        <v>0</v>
      </c>
      <c r="D345" s="19">
        <f t="shared" si="14"/>
        <v>0</v>
      </c>
    </row>
    <row r="346" spans="1:4" ht="15">
      <c r="A346" s="47">
        <v>5.1</v>
      </c>
      <c r="B346" s="19">
        <f t="shared" si="13"/>
        <v>5.1</v>
      </c>
      <c r="C346" s="50">
        <v>0</v>
      </c>
      <c r="D346" s="19">
        <f t="shared" si="14"/>
        <v>0</v>
      </c>
    </row>
    <row r="347" spans="1:4" ht="15">
      <c r="A347" s="47">
        <v>5.15</v>
      </c>
      <c r="B347" s="19">
        <f t="shared" si="13"/>
        <v>5.15</v>
      </c>
      <c r="C347" s="50">
        <v>0</v>
      </c>
      <c r="D347" s="19">
        <f t="shared" si="14"/>
        <v>0</v>
      </c>
    </row>
    <row r="348" spans="1:4" ht="15">
      <c r="A348" s="47">
        <v>5.2</v>
      </c>
      <c r="B348" s="19">
        <f t="shared" si="13"/>
        <v>5.2</v>
      </c>
      <c r="C348" s="50">
        <v>0</v>
      </c>
      <c r="D348" s="19">
        <f t="shared" si="14"/>
        <v>0</v>
      </c>
    </row>
    <row r="349" spans="1:4" ht="15">
      <c r="A349" s="47">
        <v>5.24</v>
      </c>
      <c r="B349" s="19">
        <f t="shared" si="13"/>
        <v>5.24</v>
      </c>
      <c r="C349" s="50">
        <v>0</v>
      </c>
      <c r="D349" s="19">
        <f t="shared" si="14"/>
        <v>0</v>
      </c>
    </row>
    <row r="350" spans="1:4" ht="15">
      <c r="A350" s="47">
        <v>5.29</v>
      </c>
      <c r="B350" s="19">
        <f t="shared" si="13"/>
        <v>5.29</v>
      </c>
      <c r="C350" s="50">
        <v>0</v>
      </c>
      <c r="D350" s="19">
        <f t="shared" si="14"/>
        <v>0</v>
      </c>
    </row>
    <row r="351" spans="1:4" ht="15">
      <c r="A351" s="47">
        <v>5.34</v>
      </c>
      <c r="B351" s="19">
        <f t="shared" si="13"/>
        <v>5.34</v>
      </c>
      <c r="C351" s="50">
        <v>0</v>
      </c>
      <c r="D351" s="19">
        <f t="shared" si="14"/>
        <v>0</v>
      </c>
    </row>
    <row r="352" spans="1:4" ht="15">
      <c r="A352" s="47">
        <v>5.39</v>
      </c>
      <c r="B352" s="19">
        <f t="shared" si="13"/>
        <v>5.39</v>
      </c>
      <c r="C352" s="50">
        <v>0</v>
      </c>
      <c r="D352" s="19">
        <f t="shared" si="14"/>
        <v>0</v>
      </c>
    </row>
    <row r="353" spans="1:4" ht="15">
      <c r="A353" s="47">
        <v>5.44</v>
      </c>
      <c r="B353" s="19">
        <f t="shared" si="13"/>
        <v>5.44</v>
      </c>
      <c r="C353" s="50">
        <v>0</v>
      </c>
      <c r="D353" s="19">
        <f t="shared" si="14"/>
        <v>0</v>
      </c>
    </row>
    <row r="354" spans="1:4" ht="15">
      <c r="A354" s="47">
        <v>5.49</v>
      </c>
      <c r="B354" s="19">
        <f t="shared" si="13"/>
        <v>5.49</v>
      </c>
      <c r="C354" s="50">
        <v>0</v>
      </c>
      <c r="D354" s="19">
        <f t="shared" si="14"/>
        <v>0</v>
      </c>
    </row>
    <row r="355" spans="1:4" ht="15">
      <c r="A355" s="47">
        <v>5.54</v>
      </c>
      <c r="B355" s="19">
        <f t="shared" si="13"/>
        <v>5.54</v>
      </c>
      <c r="C355" s="50">
        <v>0</v>
      </c>
      <c r="D355" s="19">
        <f t="shared" si="14"/>
        <v>0</v>
      </c>
    </row>
    <row r="356" spans="1:4" ht="15">
      <c r="A356" s="47">
        <v>5.59</v>
      </c>
      <c r="B356" s="19">
        <f t="shared" si="13"/>
        <v>5.59</v>
      </c>
      <c r="C356" s="50">
        <v>0</v>
      </c>
      <c r="D356" s="19">
        <f t="shared" si="14"/>
        <v>0</v>
      </c>
    </row>
    <row r="357" spans="1:4" ht="15">
      <c r="A357" s="47">
        <v>5.64</v>
      </c>
      <c r="B357" s="19">
        <f t="shared" si="13"/>
        <v>5.64</v>
      </c>
      <c r="C357" s="50">
        <v>0</v>
      </c>
      <c r="D357" s="19">
        <f t="shared" si="14"/>
        <v>0</v>
      </c>
    </row>
    <row r="358" spans="1:4" ht="15">
      <c r="A358" s="47">
        <v>5.74</v>
      </c>
      <c r="B358" s="19">
        <f t="shared" si="13"/>
        <v>5.74</v>
      </c>
      <c r="C358" s="50">
        <v>0</v>
      </c>
      <c r="D358" s="19">
        <f t="shared" si="14"/>
        <v>0</v>
      </c>
    </row>
    <row r="359" spans="1:4" ht="15">
      <c r="A359" s="47">
        <v>5.79</v>
      </c>
      <c r="B359" s="19">
        <f t="shared" si="13"/>
        <v>5.79</v>
      </c>
      <c r="C359" s="50">
        <v>0</v>
      </c>
      <c r="D359" s="19">
        <f t="shared" si="14"/>
        <v>0</v>
      </c>
    </row>
    <row r="360" spans="1:4" ht="15">
      <c r="A360" s="47">
        <v>5.84</v>
      </c>
      <c r="B360" s="19">
        <f t="shared" si="13"/>
        <v>5.84</v>
      </c>
      <c r="C360" s="50">
        <v>0</v>
      </c>
      <c r="D360" s="19">
        <f t="shared" si="14"/>
        <v>0</v>
      </c>
    </row>
    <row r="361" spans="1:4" ht="15">
      <c r="A361" s="47">
        <v>5.89</v>
      </c>
      <c r="B361" s="19">
        <f t="shared" si="13"/>
        <v>5.89</v>
      </c>
      <c r="C361" s="50">
        <v>0</v>
      </c>
      <c r="D361" s="19">
        <f t="shared" si="14"/>
        <v>0</v>
      </c>
    </row>
    <row r="362" spans="1:4" ht="15">
      <c r="A362" s="47">
        <v>5.94</v>
      </c>
      <c r="B362" s="19">
        <f t="shared" si="13"/>
        <v>5.94</v>
      </c>
      <c r="C362" s="50">
        <v>0</v>
      </c>
      <c r="D362" s="19">
        <f t="shared" si="14"/>
        <v>0</v>
      </c>
    </row>
    <row r="363" spans="1:4" ht="15">
      <c r="A363" s="47">
        <v>5.99</v>
      </c>
      <c r="B363" s="19">
        <f t="shared" si="13"/>
        <v>5.99</v>
      </c>
      <c r="C363" s="50">
        <v>0</v>
      </c>
      <c r="D363" s="19">
        <f t="shared" si="14"/>
        <v>0</v>
      </c>
    </row>
    <row r="364" spans="1:4" ht="15">
      <c r="A364" s="47">
        <v>6.04</v>
      </c>
      <c r="B364" s="19">
        <f t="shared" si="13"/>
        <v>6.04</v>
      </c>
      <c r="C364" s="50">
        <v>0</v>
      </c>
      <c r="D364" s="19">
        <f t="shared" si="14"/>
        <v>0</v>
      </c>
    </row>
    <row r="365" spans="1:4" ht="15">
      <c r="A365" s="47">
        <v>6.09</v>
      </c>
      <c r="B365" s="19">
        <f t="shared" si="13"/>
        <v>6.09</v>
      </c>
      <c r="C365" s="50">
        <v>0</v>
      </c>
      <c r="D365" s="19">
        <f t="shared" si="14"/>
        <v>0</v>
      </c>
    </row>
    <row r="366" spans="1:4" ht="15">
      <c r="A366" s="47">
        <v>6.14</v>
      </c>
      <c r="B366" s="19">
        <f t="shared" si="13"/>
        <v>6.14</v>
      </c>
      <c r="C366" s="50">
        <v>0</v>
      </c>
      <c r="D366" s="19">
        <f t="shared" si="14"/>
        <v>0</v>
      </c>
    </row>
    <row r="367" spans="1:4" ht="15">
      <c r="A367" s="47">
        <v>6.19</v>
      </c>
      <c r="B367" s="19">
        <f t="shared" si="13"/>
        <v>6.19</v>
      </c>
      <c r="C367" s="50">
        <v>0</v>
      </c>
      <c r="D367" s="19">
        <f t="shared" si="14"/>
        <v>0</v>
      </c>
    </row>
    <row r="368" spans="1:4" ht="15">
      <c r="A368" s="47">
        <v>6.24</v>
      </c>
      <c r="B368" s="19">
        <f t="shared" si="13"/>
        <v>6.24</v>
      </c>
      <c r="C368" s="50">
        <v>0</v>
      </c>
      <c r="D368" s="19">
        <f t="shared" si="14"/>
        <v>0</v>
      </c>
    </row>
    <row r="369" spans="1:4" ht="15">
      <c r="A369" s="47">
        <v>6.29</v>
      </c>
      <c r="B369" s="19">
        <f t="shared" si="13"/>
        <v>6.29</v>
      </c>
      <c r="C369" s="50">
        <v>0</v>
      </c>
      <c r="D369" s="19">
        <f t="shared" si="14"/>
        <v>0</v>
      </c>
    </row>
    <row r="370" spans="1:4" ht="15">
      <c r="A370" s="47">
        <v>6.34</v>
      </c>
      <c r="B370" s="19">
        <f aca="true" t="shared" si="15" ref="B370:B380">B$260+A370</f>
        <v>6.34</v>
      </c>
      <c r="C370" s="50">
        <v>0</v>
      </c>
      <c r="D370" s="19">
        <f t="shared" si="14"/>
        <v>0</v>
      </c>
    </row>
    <row r="371" spans="1:4" ht="15">
      <c r="A371" s="47">
        <v>6.44</v>
      </c>
      <c r="B371" s="19">
        <f t="shared" si="15"/>
        <v>6.44</v>
      </c>
      <c r="C371" s="50">
        <v>0</v>
      </c>
      <c r="D371" s="19">
        <f t="shared" si="14"/>
        <v>0</v>
      </c>
    </row>
    <row r="372" spans="1:4" ht="15">
      <c r="A372" s="47">
        <v>6.49</v>
      </c>
      <c r="B372" s="19">
        <f t="shared" si="15"/>
        <v>6.49</v>
      </c>
      <c r="C372" s="50">
        <v>0</v>
      </c>
      <c r="D372" s="19">
        <f t="shared" si="14"/>
        <v>0</v>
      </c>
    </row>
    <row r="373" spans="1:4" ht="15">
      <c r="A373" s="47">
        <v>6.54</v>
      </c>
      <c r="B373" s="19">
        <f t="shared" si="15"/>
        <v>6.54</v>
      </c>
      <c r="C373" s="50">
        <v>0</v>
      </c>
      <c r="D373" s="19">
        <f t="shared" si="14"/>
        <v>0</v>
      </c>
    </row>
    <row r="374" spans="1:4" ht="15">
      <c r="A374" s="47">
        <v>6.59</v>
      </c>
      <c r="B374" s="19">
        <f t="shared" si="15"/>
        <v>6.59</v>
      </c>
      <c r="C374" s="50">
        <v>0</v>
      </c>
      <c r="D374" s="19">
        <f t="shared" si="14"/>
        <v>0</v>
      </c>
    </row>
    <row r="375" spans="1:4" ht="15">
      <c r="A375" s="47">
        <v>6.64</v>
      </c>
      <c r="B375" s="19">
        <f t="shared" si="15"/>
        <v>6.64</v>
      </c>
      <c r="C375" s="50">
        <v>0</v>
      </c>
      <c r="D375" s="19">
        <f t="shared" si="14"/>
        <v>0</v>
      </c>
    </row>
    <row r="376" spans="1:4" ht="15">
      <c r="A376" s="47">
        <v>6.69</v>
      </c>
      <c r="B376" s="19">
        <f t="shared" si="15"/>
        <v>6.69</v>
      </c>
      <c r="C376" s="50">
        <v>0</v>
      </c>
      <c r="D376" s="19">
        <f t="shared" si="14"/>
        <v>0</v>
      </c>
    </row>
    <row r="377" spans="1:4" ht="15">
      <c r="A377" s="47">
        <v>6.74</v>
      </c>
      <c r="B377" s="19">
        <f t="shared" si="15"/>
        <v>6.74</v>
      </c>
      <c r="C377" s="50">
        <v>0</v>
      </c>
      <c r="D377" s="19">
        <f t="shared" si="14"/>
        <v>0</v>
      </c>
    </row>
    <row r="378" spans="1:4" ht="15">
      <c r="A378" s="47">
        <v>6.79</v>
      </c>
      <c r="B378" s="19">
        <f t="shared" si="15"/>
        <v>6.79</v>
      </c>
      <c r="C378" s="50">
        <v>0</v>
      </c>
      <c r="D378" s="19">
        <f t="shared" si="14"/>
        <v>0</v>
      </c>
    </row>
    <row r="379" spans="1:4" ht="15">
      <c r="A379" s="47">
        <v>6.9</v>
      </c>
      <c r="B379" s="19">
        <f t="shared" si="15"/>
        <v>6.9</v>
      </c>
      <c r="C379" s="50">
        <v>0</v>
      </c>
      <c r="D379" s="19">
        <f t="shared" si="14"/>
        <v>0</v>
      </c>
    </row>
    <row r="380" spans="1:4" ht="15">
      <c r="A380" s="47">
        <v>7</v>
      </c>
      <c r="B380" s="19">
        <f t="shared" si="15"/>
        <v>7</v>
      </c>
      <c r="C380" s="50">
        <v>0</v>
      </c>
      <c r="D380" s="19">
        <f t="shared" si="14"/>
        <v>0</v>
      </c>
    </row>
    <row r="381" ht="15"/>
    <row r="382" ht="15"/>
    <row r="383" spans="1:3" ht="17.25">
      <c r="A383" s="42" t="s">
        <v>208</v>
      </c>
      <c r="B383" s="20">
        <v>0.0167</v>
      </c>
      <c r="C383" s="44"/>
    </row>
    <row r="384" spans="1:4" ht="15">
      <c r="A384" s="42" t="s">
        <v>313</v>
      </c>
      <c r="B384" s="19">
        <f>SUMPRODUCT(D260:D379+D261:D380,A261:A380-A260:A379)/2</f>
        <v>373.8279601505</v>
      </c>
      <c r="C384" s="45" t="s">
        <v>59</v>
      </c>
      <c r="D384" s="41"/>
    </row>
    <row r="385" spans="1:4" ht="15">
      <c r="A385" s="42" t="s">
        <v>314</v>
      </c>
      <c r="B385" s="19">
        <f>IF(B251=0,1,B384/B251)</f>
        <v>37.382796015050005</v>
      </c>
      <c r="C385" s="45" t="s">
        <v>59</v>
      </c>
      <c r="D385" s="11" t="s">
        <v>134</v>
      </c>
    </row>
    <row r="386" ht="15">
      <c r="A386" s="41"/>
    </row>
    <row r="387" ht="15">
      <c r="A387" s="41"/>
    </row>
    <row r="388" ht="15">
      <c r="A388" s="25" t="s">
        <v>133</v>
      </c>
    </row>
    <row r="389" spans="1:5" ht="15">
      <c r="A389" s="12" t="s">
        <v>13</v>
      </c>
      <c r="B389" s="12" t="s">
        <v>1</v>
      </c>
      <c r="C389" s="12" t="s">
        <v>68</v>
      </c>
      <c r="D389" s="12" t="s">
        <v>2</v>
      </c>
      <c r="E389" s="12" t="s">
        <v>8</v>
      </c>
    </row>
    <row r="390" spans="1:5" ht="18">
      <c r="A390" s="42" t="s">
        <v>23</v>
      </c>
      <c r="B390" s="20">
        <v>11.93</v>
      </c>
      <c r="C390" s="19">
        <f>IF(B$91=TRUE,B390,0)</f>
        <v>0</v>
      </c>
      <c r="D390" s="19" t="s">
        <v>26</v>
      </c>
      <c r="E390" s="19" t="s">
        <v>163</v>
      </c>
    </row>
    <row r="391" spans="1:5" ht="18">
      <c r="A391" s="42" t="s">
        <v>25</v>
      </c>
      <c r="B391" s="20">
        <v>30</v>
      </c>
      <c r="C391" s="19">
        <f>IF(OR(B90=TRUE,B$91=TRUE),B391,0)</f>
        <v>0</v>
      </c>
      <c r="D391" s="19" t="s">
        <v>26</v>
      </c>
      <c r="E391" s="19" t="s">
        <v>164</v>
      </c>
    </row>
    <row r="392" spans="1:5" ht="18">
      <c r="A392" s="42" t="s">
        <v>24</v>
      </c>
      <c r="B392" s="20">
        <v>10</v>
      </c>
      <c r="C392" s="19">
        <f>IF(OR(B90=TRUE,B$91=TRUE),B392,0)</f>
        <v>0</v>
      </c>
      <c r="D392" s="19" t="s">
        <v>26</v>
      </c>
      <c r="E392" s="19" t="s">
        <v>302</v>
      </c>
    </row>
    <row r="393" spans="1:5" ht="18">
      <c r="A393" s="42" t="s">
        <v>72</v>
      </c>
      <c r="B393" s="79">
        <f>C91</f>
        <v>7</v>
      </c>
      <c r="C393" s="19" t="b">
        <f>IF(B$91=TRUE,B393,FALSE)</f>
        <v>0</v>
      </c>
      <c r="D393" s="19" t="s">
        <v>19</v>
      </c>
      <c r="E393" s="19" t="s">
        <v>166</v>
      </c>
    </row>
    <row r="394" spans="1:5" ht="30">
      <c r="A394" s="42" t="s">
        <v>109</v>
      </c>
      <c r="B394" s="79" t="b">
        <f>IF(B91=TRUE,IF(B90=TRUE,C90,0),FALSE)</f>
        <v>0</v>
      </c>
      <c r="C394" s="19" t="b">
        <f>IF(B$91=TRUE,B394,FALSE)</f>
        <v>0</v>
      </c>
      <c r="D394" s="19" t="s">
        <v>19</v>
      </c>
      <c r="E394" s="56" t="s">
        <v>290</v>
      </c>
    </row>
    <row r="395" ht="15"/>
    <row r="396" spans="5:7" ht="15">
      <c r="E396" s="42" t="s">
        <v>136</v>
      </c>
      <c r="F396" s="34">
        <f>PI()*(6/24)^2</f>
        <v>0.19634954084936207</v>
      </c>
      <c r="G396" s="11" t="s">
        <v>144</v>
      </c>
    </row>
    <row r="397" spans="1:7" ht="15">
      <c r="A397" s="40" t="s">
        <v>54</v>
      </c>
      <c r="B397" s="103"/>
      <c r="C397" s="92" t="s">
        <v>287</v>
      </c>
      <c r="D397" s="93" t="b">
        <v>0</v>
      </c>
      <c r="E397" s="42" t="s">
        <v>135</v>
      </c>
      <c r="F397" s="34">
        <f>PI()*(6/24)^2</f>
        <v>0.19634954084936207</v>
      </c>
      <c r="G397" s="11" t="s">
        <v>144</v>
      </c>
    </row>
    <row r="398" spans="1:12" ht="15">
      <c r="A398" s="42" t="s">
        <v>115</v>
      </c>
      <c r="B398" s="42" t="s">
        <v>117</v>
      </c>
      <c r="C398" s="59" t="s">
        <v>292</v>
      </c>
      <c r="D398" s="59" t="s">
        <v>168</v>
      </c>
      <c r="E398" s="57" t="s">
        <v>55</v>
      </c>
      <c r="F398" s="42" t="s">
        <v>56</v>
      </c>
      <c r="G398" s="42" t="s">
        <v>57</v>
      </c>
      <c r="H398" s="42" t="s">
        <v>58</v>
      </c>
      <c r="I398" s="55"/>
      <c r="J398" s="46"/>
      <c r="K398" s="41"/>
      <c r="L398" s="41"/>
    </row>
    <row r="399" spans="1:12" ht="15">
      <c r="A399" s="51">
        <v>0</v>
      </c>
      <c r="B399" s="19">
        <f>D$91+A399</f>
        <v>0</v>
      </c>
      <c r="C399" s="48">
        <v>0</v>
      </c>
      <c r="D399" s="19">
        <f>IF($D$397=TRUE,C399,IF(C399&gt;0,C399+B$12*B$523,0))</f>
        <v>0</v>
      </c>
      <c r="E399" s="58">
        <v>0</v>
      </c>
      <c r="F399" s="34">
        <v>0.75</v>
      </c>
      <c r="G399" s="34">
        <v>0.15</v>
      </c>
      <c r="H399" s="19">
        <f>F399+G399*B$523/F$396</f>
        <v>0.7833308648020771</v>
      </c>
      <c r="I399" s="41"/>
      <c r="J399" s="41"/>
      <c r="K399" s="41"/>
      <c r="L399" s="41"/>
    </row>
    <row r="400" spans="1:12" ht="15">
      <c r="A400" s="34">
        <v>0.02</v>
      </c>
      <c r="B400" s="19">
        <f aca="true" t="shared" si="16" ref="B400:B444">B$399+A400</f>
        <v>0.02</v>
      </c>
      <c r="C400" s="34">
        <v>395.90800022220003</v>
      </c>
      <c r="D400" s="19">
        <f aca="true" t="shared" si="17" ref="D400:D463">IF($D$397=TRUE,C400,IF(C400&gt;0,C400+B$12*B$523,0))</f>
        <v>488.2390714922</v>
      </c>
      <c r="E400" s="58">
        <v>0.0900000000000318</v>
      </c>
      <c r="F400" s="34">
        <v>0.75</v>
      </c>
      <c r="G400" s="34">
        <v>0.15</v>
      </c>
      <c r="H400" s="19">
        <f aca="true" t="shared" si="18" ref="H400:H418">F400+G400*B$523/F$396</f>
        <v>0.7833308648020771</v>
      </c>
      <c r="I400" s="41"/>
      <c r="J400" s="41"/>
      <c r="K400" s="41"/>
      <c r="L400" s="41"/>
    </row>
    <row r="401" spans="1:12" ht="15">
      <c r="A401" s="34">
        <v>0.07</v>
      </c>
      <c r="B401" s="19">
        <f t="shared" si="16"/>
        <v>0.07</v>
      </c>
      <c r="C401" s="34">
        <v>562.753012087</v>
      </c>
      <c r="D401" s="19">
        <f t="shared" si="17"/>
        <v>655.084083357</v>
      </c>
      <c r="E401" s="58">
        <v>0.120000000000004</v>
      </c>
      <c r="F401" s="34">
        <v>0.75</v>
      </c>
      <c r="G401" s="34">
        <v>0.151</v>
      </c>
      <c r="H401" s="19">
        <f t="shared" si="18"/>
        <v>0.7835530705674243</v>
      </c>
      <c r="I401" s="41"/>
      <c r="J401" s="41"/>
      <c r="K401" s="41"/>
      <c r="L401" s="41"/>
    </row>
    <row r="402" spans="1:12" ht="15">
      <c r="A402" s="34">
        <v>0.12</v>
      </c>
      <c r="B402" s="19">
        <f t="shared" si="16"/>
        <v>0.12</v>
      </c>
      <c r="C402" s="34">
        <v>545.060462726</v>
      </c>
      <c r="D402" s="19">
        <f t="shared" si="17"/>
        <v>637.3915339959999</v>
      </c>
      <c r="E402" s="58">
        <v>0.180000000000064</v>
      </c>
      <c r="F402" s="34">
        <v>0.75</v>
      </c>
      <c r="G402" s="34">
        <v>0.152</v>
      </c>
      <c r="H402" s="19">
        <f t="shared" si="18"/>
        <v>0.7837752763327714</v>
      </c>
      <c r="I402" s="41"/>
      <c r="J402" s="41"/>
      <c r="K402" s="41"/>
      <c r="L402" s="41"/>
    </row>
    <row r="403" spans="1:12" ht="15">
      <c r="A403" s="34">
        <v>0.17</v>
      </c>
      <c r="B403" s="19">
        <f t="shared" si="16"/>
        <v>0.17</v>
      </c>
      <c r="C403" s="34">
        <v>536.6930334094</v>
      </c>
      <c r="D403" s="19">
        <f t="shared" si="17"/>
        <v>629.0241046793999</v>
      </c>
      <c r="E403" s="58">
        <v>0.210000000000036</v>
      </c>
      <c r="F403" s="34">
        <v>0.75</v>
      </c>
      <c r="G403" s="34">
        <v>0.159</v>
      </c>
      <c r="H403" s="19">
        <f t="shared" si="18"/>
        <v>0.7853307166902017</v>
      </c>
      <c r="I403" s="41"/>
      <c r="J403" s="41"/>
      <c r="K403" s="41"/>
      <c r="L403" s="41"/>
    </row>
    <row r="404" spans="1:12" ht="15">
      <c r="A404" s="34">
        <v>0.22</v>
      </c>
      <c r="B404" s="19">
        <f t="shared" si="16"/>
        <v>0.22</v>
      </c>
      <c r="C404" s="34">
        <v>536.5828764947</v>
      </c>
      <c r="D404" s="19">
        <f t="shared" si="17"/>
        <v>628.9139477647</v>
      </c>
      <c r="E404" s="58">
        <v>0.240000000000009</v>
      </c>
      <c r="F404" s="34">
        <v>0.75</v>
      </c>
      <c r="G404" s="49">
        <v>0.17</v>
      </c>
      <c r="H404" s="19">
        <f t="shared" si="18"/>
        <v>0.7877749801090207</v>
      </c>
      <c r="I404" s="41"/>
      <c r="J404" s="41"/>
      <c r="K404" s="41"/>
      <c r="L404" s="41"/>
    </row>
    <row r="405" spans="1:12" ht="15">
      <c r="A405" s="34">
        <v>0.27</v>
      </c>
      <c r="B405" s="19">
        <f t="shared" si="16"/>
        <v>0.27</v>
      </c>
      <c r="C405" s="34">
        <v>537.7294076477001</v>
      </c>
      <c r="D405" s="19">
        <f t="shared" si="17"/>
        <v>630.0604789177</v>
      </c>
      <c r="E405" s="58">
        <v>0.300000000000182</v>
      </c>
      <c r="F405" s="34">
        <v>0.75</v>
      </c>
      <c r="G405" s="34">
        <v>0.201</v>
      </c>
      <c r="H405" s="19">
        <f t="shared" si="18"/>
        <v>0.7946633588347833</v>
      </c>
      <c r="I405" s="41"/>
      <c r="J405" s="41"/>
      <c r="K405" s="41"/>
      <c r="L405" s="41"/>
    </row>
    <row r="406" spans="1:12" ht="15">
      <c r="A406" s="51">
        <v>0.32</v>
      </c>
      <c r="B406" s="19">
        <f t="shared" si="16"/>
        <v>0.32</v>
      </c>
      <c r="C406" s="20">
        <v>538.5432199562999</v>
      </c>
      <c r="D406" s="19">
        <f t="shared" si="17"/>
        <v>630.8742912262999</v>
      </c>
      <c r="E406" s="58">
        <v>0.360000000000127</v>
      </c>
      <c r="F406" s="20">
        <v>0.75</v>
      </c>
      <c r="G406" s="20">
        <v>0.201</v>
      </c>
      <c r="H406" s="19">
        <f t="shared" si="18"/>
        <v>0.7946633588347833</v>
      </c>
      <c r="I406" s="41"/>
      <c r="J406" s="41"/>
      <c r="K406" s="41"/>
      <c r="L406" s="41"/>
    </row>
    <row r="407" spans="1:12" ht="15">
      <c r="A407" s="51">
        <v>0.37</v>
      </c>
      <c r="B407" s="19">
        <f t="shared" si="16"/>
        <v>0.37</v>
      </c>
      <c r="C407" s="20">
        <v>540.6946519434</v>
      </c>
      <c r="D407" s="19">
        <f t="shared" si="17"/>
        <v>633.0257232133999</v>
      </c>
      <c r="E407" s="58">
        <v>0.420000000000073</v>
      </c>
      <c r="F407" s="20">
        <v>0.77</v>
      </c>
      <c r="G407" s="20">
        <v>0.201</v>
      </c>
      <c r="H407" s="19">
        <f t="shared" si="18"/>
        <v>0.8146633588347834</v>
      </c>
      <c r="I407" s="41"/>
      <c r="J407" s="41"/>
      <c r="K407" s="41"/>
      <c r="L407" s="41"/>
    </row>
    <row r="408" spans="1:12" ht="15">
      <c r="A408" s="51">
        <v>0.42</v>
      </c>
      <c r="B408" s="19">
        <f t="shared" si="16"/>
        <v>0.42</v>
      </c>
      <c r="C408" s="20">
        <v>545.5123308863</v>
      </c>
      <c r="D408" s="19">
        <f t="shared" si="17"/>
        <v>637.8434021563</v>
      </c>
      <c r="E408" s="58">
        <v>0.449999999999818</v>
      </c>
      <c r="F408" s="20">
        <v>0.8</v>
      </c>
      <c r="G408" s="20">
        <v>0.201</v>
      </c>
      <c r="H408" s="19">
        <f t="shared" si="18"/>
        <v>0.8446633588347834</v>
      </c>
      <c r="I408" s="41"/>
      <c r="J408" s="41"/>
      <c r="K408" s="41"/>
      <c r="L408" s="41"/>
    </row>
    <row r="409" spans="1:12" ht="15">
      <c r="A409" s="51">
        <v>0.47</v>
      </c>
      <c r="B409" s="19">
        <f t="shared" si="16"/>
        <v>0.47</v>
      </c>
      <c r="C409" s="20">
        <v>549.3183646942</v>
      </c>
      <c r="D409" s="19">
        <f t="shared" si="17"/>
        <v>641.6494359641999</v>
      </c>
      <c r="E409" s="58">
        <v>0.510000000000218</v>
      </c>
      <c r="F409" s="20">
        <v>0.825</v>
      </c>
      <c r="G409" s="20">
        <v>0.201</v>
      </c>
      <c r="H409" s="19">
        <f t="shared" si="18"/>
        <v>0.8696633588347833</v>
      </c>
      <c r="I409" s="41"/>
      <c r="J409" s="41"/>
      <c r="K409" s="41"/>
      <c r="L409" s="41"/>
    </row>
    <row r="410" spans="1:12" ht="15">
      <c r="A410" s="51">
        <v>0.52</v>
      </c>
      <c r="B410" s="19">
        <f t="shared" si="16"/>
        <v>0.52</v>
      </c>
      <c r="C410" s="20">
        <v>552.3375633971001</v>
      </c>
      <c r="D410" s="19">
        <f t="shared" si="17"/>
        <v>644.6686346671002</v>
      </c>
      <c r="E410" s="58">
        <v>0.539999999999964</v>
      </c>
      <c r="F410" s="20">
        <v>0.84</v>
      </c>
      <c r="G410" s="20">
        <v>0.201</v>
      </c>
      <c r="H410" s="19">
        <f t="shared" si="18"/>
        <v>0.8846633588347833</v>
      </c>
      <c r="I410" s="41"/>
      <c r="J410" s="41"/>
      <c r="K410" s="41"/>
      <c r="L410" s="41"/>
    </row>
    <row r="411" spans="1:12" ht="15">
      <c r="A411" s="51">
        <v>0.57</v>
      </c>
      <c r="B411" s="19">
        <f t="shared" si="16"/>
        <v>0.57</v>
      </c>
      <c r="C411" s="20">
        <v>554.3855827704</v>
      </c>
      <c r="D411" s="19">
        <f t="shared" si="17"/>
        <v>646.7166540404</v>
      </c>
      <c r="E411" s="60">
        <v>0.600000000000364</v>
      </c>
      <c r="F411" s="20">
        <v>0.87</v>
      </c>
      <c r="G411" s="20">
        <v>0.201</v>
      </c>
      <c r="H411" s="19">
        <f t="shared" si="18"/>
        <v>0.9146633588347833</v>
      </c>
      <c r="I411" s="41"/>
      <c r="J411" s="41"/>
      <c r="K411" s="41"/>
      <c r="L411" s="41"/>
    </row>
    <row r="412" spans="1:12" ht="15">
      <c r="A412" s="51">
        <v>0.72</v>
      </c>
      <c r="B412" s="19">
        <f t="shared" si="16"/>
        <v>0.72</v>
      </c>
      <c r="C412" s="20">
        <v>564.8257605635999</v>
      </c>
      <c r="D412" s="19">
        <f t="shared" si="17"/>
        <v>657.1568318335999</v>
      </c>
      <c r="E412" s="60">
        <v>0.659999999999854</v>
      </c>
      <c r="F412" s="20">
        <v>0.887</v>
      </c>
      <c r="G412" s="20">
        <v>0.201</v>
      </c>
      <c r="H412" s="19">
        <f t="shared" si="18"/>
        <v>0.9316633588347834</v>
      </c>
      <c r="I412" s="41"/>
      <c r="J412" s="41"/>
      <c r="K412" s="41"/>
      <c r="L412" s="41"/>
    </row>
    <row r="413" spans="1:12" ht="15">
      <c r="A413" s="51">
        <v>0.77</v>
      </c>
      <c r="B413" s="19">
        <f t="shared" si="16"/>
        <v>0.77</v>
      </c>
      <c r="C413" s="20">
        <v>566.5860230984999</v>
      </c>
      <c r="D413" s="19">
        <f t="shared" si="17"/>
        <v>658.9170943684999</v>
      </c>
      <c r="E413" s="60">
        <v>0.6899999999996</v>
      </c>
      <c r="F413" s="20">
        <v>0.893</v>
      </c>
      <c r="G413" s="20">
        <v>0.201</v>
      </c>
      <c r="H413" s="19">
        <f t="shared" si="18"/>
        <v>0.9376633588347834</v>
      </c>
      <c r="I413" s="41"/>
      <c r="J413" s="41"/>
      <c r="K413" s="41"/>
      <c r="L413" s="41"/>
    </row>
    <row r="414" spans="1:12" ht="15">
      <c r="A414" s="51">
        <v>0.82</v>
      </c>
      <c r="B414" s="19">
        <f t="shared" si="16"/>
        <v>0.82</v>
      </c>
      <c r="C414" s="20">
        <v>568.5441184598001</v>
      </c>
      <c r="D414" s="19">
        <f t="shared" si="17"/>
        <v>660.8751897298</v>
      </c>
      <c r="E414" s="60">
        <v>0.779999999999745</v>
      </c>
      <c r="F414" s="20">
        <v>0.898</v>
      </c>
      <c r="G414" s="20">
        <v>0.201</v>
      </c>
      <c r="H414" s="19">
        <f t="shared" si="18"/>
        <v>0.9426633588347834</v>
      </c>
      <c r="I414" s="41"/>
      <c r="J414" s="41"/>
      <c r="K414" s="41"/>
      <c r="L414" s="41"/>
    </row>
    <row r="415" spans="1:12" ht="15">
      <c r="A415" s="51">
        <v>0.87</v>
      </c>
      <c r="B415" s="19">
        <f t="shared" si="16"/>
        <v>0.87</v>
      </c>
      <c r="C415" s="20">
        <v>570.7540010547</v>
      </c>
      <c r="D415" s="19">
        <f t="shared" si="17"/>
        <v>663.0850723246999</v>
      </c>
      <c r="E415" s="60">
        <v>0.8100000000004</v>
      </c>
      <c r="F415" s="20">
        <v>0.9</v>
      </c>
      <c r="G415" s="20">
        <v>0.201</v>
      </c>
      <c r="H415" s="19">
        <f t="shared" si="18"/>
        <v>0.9446633588347834</v>
      </c>
      <c r="I415" s="41"/>
      <c r="J415" s="41"/>
      <c r="K415" s="41"/>
      <c r="L415" s="41"/>
    </row>
    <row r="416" spans="1:12" ht="15">
      <c r="A416" s="51">
        <v>0.92</v>
      </c>
      <c r="B416" s="19">
        <f t="shared" si="16"/>
        <v>0.92</v>
      </c>
      <c r="C416" s="20">
        <v>574.5083285557</v>
      </c>
      <c r="D416" s="19">
        <f t="shared" si="17"/>
        <v>666.8393998257</v>
      </c>
      <c r="E416" s="60">
        <v>0.899999999999636</v>
      </c>
      <c r="F416" s="20">
        <v>0.9005</v>
      </c>
      <c r="G416" s="20">
        <v>0.201</v>
      </c>
      <c r="H416" s="19">
        <f t="shared" si="18"/>
        <v>0.9451633588347833</v>
      </c>
      <c r="I416" s="41"/>
      <c r="J416" s="41"/>
      <c r="K416" s="41"/>
      <c r="L416" s="41"/>
    </row>
    <row r="417" spans="1:12" ht="15">
      <c r="A417" s="51">
        <v>0.97</v>
      </c>
      <c r="B417" s="19">
        <f t="shared" si="16"/>
        <v>0.97</v>
      </c>
      <c r="C417" s="20">
        <v>576.0010671549</v>
      </c>
      <c r="D417" s="19">
        <f t="shared" si="17"/>
        <v>668.3321384249</v>
      </c>
      <c r="E417" s="60">
        <v>1</v>
      </c>
      <c r="F417" s="20">
        <v>0.901</v>
      </c>
      <c r="G417" s="20">
        <v>0.201</v>
      </c>
      <c r="H417" s="19">
        <f t="shared" si="18"/>
        <v>0.9456633588347834</v>
      </c>
      <c r="I417" s="41"/>
      <c r="J417" s="41"/>
      <c r="K417" s="41"/>
      <c r="L417" s="41"/>
    </row>
    <row r="418" spans="1:12" ht="15">
      <c r="A418" s="51">
        <v>1.02</v>
      </c>
      <c r="B418" s="19">
        <f t="shared" si="16"/>
        <v>1.02</v>
      </c>
      <c r="C418" s="20">
        <v>578.0288536255</v>
      </c>
      <c r="D418" s="19">
        <f t="shared" si="17"/>
        <v>670.3599248955</v>
      </c>
      <c r="E418" s="60">
        <v>1.5</v>
      </c>
      <c r="F418" s="20">
        <v>0.9013</v>
      </c>
      <c r="G418" s="20">
        <v>0.201</v>
      </c>
      <c r="H418" s="19">
        <f t="shared" si="18"/>
        <v>0.9459633588347833</v>
      </c>
      <c r="I418" s="41"/>
      <c r="J418" s="41"/>
      <c r="K418" s="41"/>
      <c r="L418" s="41"/>
    </row>
    <row r="419" spans="1:4" ht="15">
      <c r="A419" s="51">
        <v>1.07</v>
      </c>
      <c r="B419" s="19">
        <f t="shared" si="16"/>
        <v>1.07</v>
      </c>
      <c r="C419" s="20">
        <v>580.4365690468001</v>
      </c>
      <c r="D419" s="19">
        <f t="shared" si="17"/>
        <v>672.7676403168</v>
      </c>
    </row>
    <row r="420" spans="1:4" ht="15">
      <c r="A420" s="51">
        <v>1.12</v>
      </c>
      <c r="B420" s="19">
        <f t="shared" si="16"/>
        <v>1.12</v>
      </c>
      <c r="C420" s="20">
        <v>584.4359394805</v>
      </c>
      <c r="D420" s="19">
        <f t="shared" si="17"/>
        <v>676.7670107505</v>
      </c>
    </row>
    <row r="421" spans="1:4" ht="15">
      <c r="A421" s="51">
        <v>1.27</v>
      </c>
      <c r="B421" s="19">
        <f t="shared" si="16"/>
        <v>1.27</v>
      </c>
      <c r="C421" s="20">
        <v>583.3770842392</v>
      </c>
      <c r="D421" s="19">
        <f t="shared" si="17"/>
        <v>675.7081555092</v>
      </c>
    </row>
    <row r="422" spans="1:4" ht="15">
      <c r="A422" s="51">
        <v>1.32</v>
      </c>
      <c r="B422" s="19">
        <f t="shared" si="16"/>
        <v>1.32</v>
      </c>
      <c r="C422" s="20">
        <v>586.6525663763</v>
      </c>
      <c r="D422" s="19">
        <f t="shared" si="17"/>
        <v>678.9836376462999</v>
      </c>
    </row>
    <row r="423" spans="1:4" ht="15">
      <c r="A423" s="51">
        <v>1.37</v>
      </c>
      <c r="B423" s="19">
        <f t="shared" si="16"/>
        <v>1.37</v>
      </c>
      <c r="C423" s="20">
        <v>588.0239075593</v>
      </c>
      <c r="D423" s="19">
        <f t="shared" si="17"/>
        <v>680.3549788293001</v>
      </c>
    </row>
    <row r="424" spans="1:4" ht="15">
      <c r="A424" s="51">
        <v>1.42</v>
      </c>
      <c r="B424" s="19">
        <f t="shared" si="16"/>
        <v>1.42</v>
      </c>
      <c r="C424" s="20">
        <v>587.1988547492001</v>
      </c>
      <c r="D424" s="19">
        <f t="shared" si="17"/>
        <v>679.5299260192</v>
      </c>
    </row>
    <row r="425" spans="1:4" ht="15">
      <c r="A425" s="51">
        <v>1.47</v>
      </c>
      <c r="B425" s="19">
        <f t="shared" si="16"/>
        <v>1.47</v>
      </c>
      <c r="C425" s="20">
        <v>590.7868228279999</v>
      </c>
      <c r="D425" s="19">
        <f t="shared" si="17"/>
        <v>683.1178940979999</v>
      </c>
    </row>
    <row r="426" spans="1:4" ht="15">
      <c r="A426" s="51">
        <v>1.52</v>
      </c>
      <c r="B426" s="19">
        <f t="shared" si="16"/>
        <v>1.52</v>
      </c>
      <c r="C426" s="20">
        <v>588.1228239725</v>
      </c>
      <c r="D426" s="19">
        <f t="shared" si="17"/>
        <v>680.4538952425</v>
      </c>
    </row>
    <row r="427" spans="1:4" ht="15">
      <c r="A427" s="51">
        <v>1.57</v>
      </c>
      <c r="B427" s="19">
        <f t="shared" si="16"/>
        <v>1.57</v>
      </c>
      <c r="C427" s="20">
        <v>588.8264793664</v>
      </c>
      <c r="D427" s="19">
        <f t="shared" si="17"/>
        <v>681.1575506364</v>
      </c>
    </row>
    <row r="428" spans="1:4" ht="15">
      <c r="A428" s="51">
        <v>1.61</v>
      </c>
      <c r="B428" s="19">
        <f t="shared" si="16"/>
        <v>1.61</v>
      </c>
      <c r="C428" s="20">
        <v>591.2252023865001</v>
      </c>
      <c r="D428" s="19">
        <f t="shared" si="17"/>
        <v>683.5562736565</v>
      </c>
    </row>
    <row r="429" spans="1:4" ht="15">
      <c r="A429" s="51">
        <v>1.66</v>
      </c>
      <c r="B429" s="19">
        <f t="shared" si="16"/>
        <v>1.66</v>
      </c>
      <c r="C429" s="20">
        <v>589.8628536047</v>
      </c>
      <c r="D429" s="19">
        <f t="shared" si="17"/>
        <v>682.1939248747001</v>
      </c>
    </row>
    <row r="430" spans="1:4" ht="15">
      <c r="A430" s="51">
        <v>1.71</v>
      </c>
      <c r="B430" s="19">
        <f t="shared" si="16"/>
        <v>1.71</v>
      </c>
      <c r="C430" s="20">
        <v>590.8879873415001</v>
      </c>
      <c r="D430" s="19">
        <f t="shared" si="17"/>
        <v>683.2190586115</v>
      </c>
    </row>
    <row r="431" spans="1:4" ht="15">
      <c r="A431" s="51">
        <v>1.86</v>
      </c>
      <c r="B431" s="19">
        <f t="shared" si="16"/>
        <v>1.86</v>
      </c>
      <c r="C431" s="20">
        <v>591.5781541336</v>
      </c>
      <c r="D431" s="19">
        <f t="shared" si="17"/>
        <v>683.9092254036</v>
      </c>
    </row>
    <row r="432" spans="1:4" ht="15">
      <c r="A432" s="51">
        <v>1.91</v>
      </c>
      <c r="B432" s="19">
        <f t="shared" si="16"/>
        <v>1.91</v>
      </c>
      <c r="C432" s="20">
        <v>592.3132829317</v>
      </c>
      <c r="D432" s="19">
        <f t="shared" si="17"/>
        <v>684.6443542017</v>
      </c>
    </row>
    <row r="433" spans="1:4" ht="15">
      <c r="A433" s="51">
        <v>1.96</v>
      </c>
      <c r="B433" s="19">
        <f t="shared" si="16"/>
        <v>1.96</v>
      </c>
      <c r="C433" s="20">
        <v>590.9531822502001</v>
      </c>
      <c r="D433" s="19">
        <f t="shared" si="17"/>
        <v>683.2842535202001</v>
      </c>
    </row>
    <row r="434" spans="1:4" ht="15">
      <c r="A434" s="51">
        <v>2.01</v>
      </c>
      <c r="B434" s="19">
        <f t="shared" si="16"/>
        <v>2.01</v>
      </c>
      <c r="C434" s="20">
        <v>592.0525032969</v>
      </c>
      <c r="D434" s="19">
        <f t="shared" si="17"/>
        <v>684.3835745669</v>
      </c>
    </row>
    <row r="435" spans="1:4" ht="15">
      <c r="A435" s="51">
        <v>2.06</v>
      </c>
      <c r="B435" s="19">
        <f t="shared" si="16"/>
        <v>2.06</v>
      </c>
      <c r="C435" s="20">
        <v>590.0292130269</v>
      </c>
      <c r="D435" s="19">
        <f t="shared" si="17"/>
        <v>682.3602842969001</v>
      </c>
    </row>
    <row r="436" spans="1:4" ht="15">
      <c r="A436" s="51">
        <v>2.11</v>
      </c>
      <c r="B436" s="19">
        <f t="shared" si="16"/>
        <v>2.11</v>
      </c>
      <c r="C436" s="20">
        <v>591.7220325528001</v>
      </c>
      <c r="D436" s="19">
        <f t="shared" si="17"/>
        <v>684.0531038228</v>
      </c>
    </row>
    <row r="437" spans="1:4" ht="15">
      <c r="A437" s="51">
        <v>2.16</v>
      </c>
      <c r="B437" s="19">
        <f t="shared" si="16"/>
        <v>2.16</v>
      </c>
      <c r="C437" s="20">
        <v>590.8879873415001</v>
      </c>
      <c r="D437" s="19">
        <f t="shared" si="17"/>
        <v>683.2190586115</v>
      </c>
    </row>
    <row r="438" spans="1:4" ht="15">
      <c r="A438" s="51">
        <v>2.21</v>
      </c>
      <c r="B438" s="19">
        <f t="shared" si="16"/>
        <v>2.21</v>
      </c>
      <c r="C438" s="20">
        <v>590.2854964610999</v>
      </c>
      <c r="D438" s="19">
        <f t="shared" si="17"/>
        <v>682.6165677310998</v>
      </c>
    </row>
    <row r="439" spans="1:4" ht="15">
      <c r="A439" s="51">
        <v>2.26</v>
      </c>
      <c r="B439" s="19">
        <f t="shared" si="16"/>
        <v>2.26</v>
      </c>
      <c r="C439" s="20">
        <v>592.090721002</v>
      </c>
      <c r="D439" s="19">
        <f t="shared" si="17"/>
        <v>684.421792272</v>
      </c>
    </row>
    <row r="440" spans="1:4" ht="15">
      <c r="A440" s="51">
        <v>2.31</v>
      </c>
      <c r="B440" s="19">
        <f t="shared" si="16"/>
        <v>2.31</v>
      </c>
      <c r="C440" s="20">
        <v>589.5166461585</v>
      </c>
      <c r="D440" s="19">
        <f t="shared" si="17"/>
        <v>681.8477174284999</v>
      </c>
    </row>
    <row r="441" spans="1:4" ht="15">
      <c r="A441" s="51">
        <v>2.36</v>
      </c>
      <c r="B441" s="19">
        <f t="shared" si="16"/>
        <v>2.36</v>
      </c>
      <c r="C441" s="20">
        <v>591.3218706994</v>
      </c>
      <c r="D441" s="19">
        <f t="shared" si="17"/>
        <v>683.6529419694</v>
      </c>
    </row>
    <row r="442" spans="1:4" ht="15">
      <c r="A442" s="51">
        <v>2.41</v>
      </c>
      <c r="B442" s="19">
        <f t="shared" si="16"/>
        <v>2.41</v>
      </c>
      <c r="C442" s="20">
        <v>588.8197350655</v>
      </c>
      <c r="D442" s="19">
        <f t="shared" si="17"/>
        <v>681.1508063355</v>
      </c>
    </row>
    <row r="443" spans="1:4" ht="15">
      <c r="A443" s="51">
        <v>2.56</v>
      </c>
      <c r="B443" s="19">
        <f t="shared" si="16"/>
        <v>2.56</v>
      </c>
      <c r="C443" s="20">
        <v>587.5225811923999</v>
      </c>
      <c r="D443" s="19">
        <f t="shared" si="17"/>
        <v>679.8536524623999</v>
      </c>
    </row>
    <row r="444" spans="1:4" ht="15">
      <c r="A444" s="51">
        <v>2.61</v>
      </c>
      <c r="B444" s="19">
        <f t="shared" si="16"/>
        <v>2.61</v>
      </c>
      <c r="C444" s="20">
        <v>587.3337407672</v>
      </c>
      <c r="D444" s="19">
        <f t="shared" si="17"/>
        <v>679.6648120371999</v>
      </c>
    </row>
    <row r="445" spans="1:4" ht="15">
      <c r="A445" s="51">
        <v>2.66</v>
      </c>
      <c r="B445" s="19">
        <f aca="true" t="shared" si="19" ref="B445:B508">B$399+A445</f>
        <v>2.66</v>
      </c>
      <c r="C445" s="20">
        <v>586.5311689601001</v>
      </c>
      <c r="D445" s="19">
        <f t="shared" si="17"/>
        <v>678.8622402301</v>
      </c>
    </row>
    <row r="446" spans="1:4" ht="15">
      <c r="A446" s="51">
        <v>2.71</v>
      </c>
      <c r="B446" s="19">
        <f t="shared" si="19"/>
        <v>2.71</v>
      </c>
      <c r="C446" s="20">
        <v>585.2834732936</v>
      </c>
      <c r="D446" s="19">
        <f t="shared" si="17"/>
        <v>677.6145445636</v>
      </c>
    </row>
    <row r="447" spans="1:4" ht="15">
      <c r="A447" s="51">
        <v>2.76</v>
      </c>
      <c r="B447" s="19">
        <f t="shared" si="19"/>
        <v>2.76</v>
      </c>
      <c r="C447" s="20">
        <v>584.7259444192</v>
      </c>
      <c r="D447" s="19">
        <f t="shared" si="17"/>
        <v>677.0570156891999</v>
      </c>
    </row>
    <row r="448" spans="1:4" ht="15">
      <c r="A448" s="51">
        <v>2.81</v>
      </c>
      <c r="B448" s="19">
        <f t="shared" si="19"/>
        <v>2.81</v>
      </c>
      <c r="C448" s="20">
        <v>580.3443969345001</v>
      </c>
      <c r="D448" s="19">
        <f t="shared" si="17"/>
        <v>672.6754682045</v>
      </c>
    </row>
    <row r="449" spans="1:4" ht="15">
      <c r="A449" s="51">
        <v>2.86</v>
      </c>
      <c r="B449" s="19">
        <f t="shared" si="19"/>
        <v>2.86</v>
      </c>
      <c r="C449" s="20">
        <v>578.2199421509999</v>
      </c>
      <c r="D449" s="19">
        <f t="shared" si="17"/>
        <v>670.5510134209999</v>
      </c>
    </row>
    <row r="450" spans="1:4" ht="15">
      <c r="A450" s="51">
        <v>2.91</v>
      </c>
      <c r="B450" s="19">
        <f t="shared" si="19"/>
        <v>2.91</v>
      </c>
      <c r="C450" s="20">
        <v>572.4355800791</v>
      </c>
      <c r="D450" s="19">
        <f t="shared" si="17"/>
        <v>664.7666513490999</v>
      </c>
    </row>
    <row r="451" spans="1:4" ht="15">
      <c r="A451" s="51">
        <v>2.96</v>
      </c>
      <c r="B451" s="19">
        <f t="shared" si="19"/>
        <v>2.96</v>
      </c>
      <c r="C451" s="20">
        <v>569.0387005258001</v>
      </c>
      <c r="D451" s="19">
        <f t="shared" si="17"/>
        <v>661.3697717958</v>
      </c>
    </row>
    <row r="452" spans="1:4" ht="15">
      <c r="A452" s="51">
        <v>3.01</v>
      </c>
      <c r="B452" s="19">
        <f t="shared" si="19"/>
        <v>3.01</v>
      </c>
      <c r="C452" s="20">
        <v>564.8145200621</v>
      </c>
      <c r="D452" s="19">
        <f t="shared" si="17"/>
        <v>657.1455913320999</v>
      </c>
    </row>
    <row r="453" spans="1:4" ht="15">
      <c r="A453" s="51">
        <v>3.06</v>
      </c>
      <c r="B453" s="19">
        <f t="shared" si="19"/>
        <v>3.06</v>
      </c>
      <c r="C453" s="20">
        <v>561.1163950686</v>
      </c>
      <c r="D453" s="19">
        <f t="shared" si="17"/>
        <v>653.4474663386</v>
      </c>
    </row>
    <row r="454" spans="1:4" ht="15">
      <c r="A454" s="51">
        <v>3.11</v>
      </c>
      <c r="B454" s="19">
        <f t="shared" si="19"/>
        <v>3.11</v>
      </c>
      <c r="C454" s="20">
        <v>551.445067578</v>
      </c>
      <c r="D454" s="19">
        <f t="shared" si="17"/>
        <v>643.7761388480001</v>
      </c>
    </row>
    <row r="455" spans="1:4" ht="15">
      <c r="A455" s="51">
        <v>3.26</v>
      </c>
      <c r="B455" s="19">
        <f t="shared" si="19"/>
        <v>3.26</v>
      </c>
      <c r="C455" s="20">
        <v>535.1890543087</v>
      </c>
      <c r="D455" s="19">
        <f t="shared" si="17"/>
        <v>627.5201255786999</v>
      </c>
    </row>
    <row r="456" spans="1:4" ht="15">
      <c r="A456" s="51">
        <v>3.31</v>
      </c>
      <c r="B456" s="19">
        <f t="shared" si="19"/>
        <v>3.31</v>
      </c>
      <c r="C456" s="20">
        <v>529.885785701</v>
      </c>
      <c r="D456" s="19">
        <f t="shared" si="17"/>
        <v>622.216856971</v>
      </c>
    </row>
    <row r="457" spans="1:4" ht="15">
      <c r="A457" s="51">
        <v>3.36</v>
      </c>
      <c r="B457" s="19">
        <f t="shared" si="19"/>
        <v>3.36</v>
      </c>
      <c r="C457" s="20">
        <v>525.7200558451</v>
      </c>
      <c r="D457" s="19">
        <f t="shared" si="17"/>
        <v>618.0511271150999</v>
      </c>
    </row>
    <row r="458" spans="1:4" ht="15">
      <c r="A458" s="51">
        <v>3.41</v>
      </c>
      <c r="B458" s="19">
        <f t="shared" si="19"/>
        <v>3.41</v>
      </c>
      <c r="C458" s="20">
        <v>520.4482606416</v>
      </c>
      <c r="D458" s="19">
        <f t="shared" si="17"/>
        <v>612.7793319115999</v>
      </c>
    </row>
    <row r="459" spans="1:4" ht="15">
      <c r="A459" s="51">
        <v>3.46</v>
      </c>
      <c r="B459" s="19">
        <f t="shared" si="19"/>
        <v>3.46</v>
      </c>
      <c r="C459" s="20">
        <v>515.9700448440001</v>
      </c>
      <c r="D459" s="19">
        <f t="shared" si="17"/>
        <v>608.301116114</v>
      </c>
    </row>
    <row r="460" spans="1:4" ht="15">
      <c r="A460" s="51">
        <v>3.6</v>
      </c>
      <c r="B460" s="19">
        <f t="shared" si="19"/>
        <v>3.6</v>
      </c>
      <c r="C460" s="20">
        <v>502.9130783016</v>
      </c>
      <c r="D460" s="19">
        <f t="shared" si="17"/>
        <v>595.2441495716</v>
      </c>
    </row>
    <row r="461" spans="1:4" ht="15">
      <c r="A461" s="51">
        <v>3.65</v>
      </c>
      <c r="B461" s="19">
        <f t="shared" si="19"/>
        <v>3.65</v>
      </c>
      <c r="C461" s="20">
        <v>498.32245748900004</v>
      </c>
      <c r="D461" s="19">
        <f t="shared" si="17"/>
        <v>590.653528759</v>
      </c>
    </row>
    <row r="462" spans="1:4" ht="15">
      <c r="A462" s="51">
        <v>3.7</v>
      </c>
      <c r="B462" s="19">
        <f t="shared" si="19"/>
        <v>3.7</v>
      </c>
      <c r="C462" s="20">
        <v>495.9709445752</v>
      </c>
      <c r="D462" s="19">
        <f t="shared" si="17"/>
        <v>588.3020158452</v>
      </c>
    </row>
    <row r="463" spans="1:4" ht="15">
      <c r="A463" s="51">
        <v>3.75</v>
      </c>
      <c r="B463" s="19">
        <f t="shared" si="19"/>
        <v>3.75</v>
      </c>
      <c r="C463" s="20">
        <v>487.7811151823</v>
      </c>
      <c r="D463" s="19">
        <f t="shared" si="17"/>
        <v>580.1121864523</v>
      </c>
    </row>
    <row r="464" spans="1:4" ht="15">
      <c r="A464" s="51">
        <v>3.8</v>
      </c>
      <c r="B464" s="19">
        <f t="shared" si="19"/>
        <v>3.8</v>
      </c>
      <c r="C464" s="20">
        <v>482.3002466509</v>
      </c>
      <c r="D464" s="19">
        <f aca="true" t="shared" si="20" ref="D464:D519">IF($D$397=TRUE,C464,IF(C464&gt;0,C464+B$12*B$523,0))</f>
        <v>574.6313179209001</v>
      </c>
    </row>
    <row r="465" spans="1:4" ht="15">
      <c r="A465" s="51">
        <v>3.85</v>
      </c>
      <c r="B465" s="19">
        <f t="shared" si="19"/>
        <v>3.85</v>
      </c>
      <c r="C465" s="20">
        <v>473.5191668791</v>
      </c>
      <c r="D465" s="19">
        <f t="shared" si="20"/>
        <v>565.8502381491</v>
      </c>
    </row>
    <row r="466" spans="1:4" ht="15">
      <c r="A466" s="51">
        <v>3.9</v>
      </c>
      <c r="B466" s="19">
        <f t="shared" si="19"/>
        <v>3.9</v>
      </c>
      <c r="C466" s="20">
        <v>468.29458178190004</v>
      </c>
      <c r="D466" s="19">
        <f t="shared" si="20"/>
        <v>560.6256530519</v>
      </c>
    </row>
    <row r="467" spans="1:4" ht="15">
      <c r="A467" s="51">
        <v>3.95</v>
      </c>
      <c r="B467" s="19">
        <f t="shared" si="19"/>
        <v>3.95</v>
      </c>
      <c r="C467" s="20">
        <v>464.9516566358</v>
      </c>
      <c r="D467" s="19">
        <f t="shared" si="20"/>
        <v>557.2827279058</v>
      </c>
    </row>
    <row r="468" spans="1:4" ht="15">
      <c r="A468" s="51">
        <v>4</v>
      </c>
      <c r="B468" s="19">
        <f t="shared" si="19"/>
        <v>4</v>
      </c>
      <c r="C468" s="20">
        <v>458.04774061450007</v>
      </c>
      <c r="D468" s="19">
        <f t="shared" si="20"/>
        <v>550.3788118845</v>
      </c>
    </row>
    <row r="469" spans="1:4" ht="15">
      <c r="A469" s="51">
        <v>4.05</v>
      </c>
      <c r="B469" s="19">
        <f t="shared" si="19"/>
        <v>4.05</v>
      </c>
      <c r="C469" s="20">
        <v>448.2730005101001</v>
      </c>
      <c r="D469" s="19">
        <f t="shared" si="20"/>
        <v>540.6040717801001</v>
      </c>
    </row>
    <row r="470" spans="1:4" ht="15">
      <c r="A470" s="51">
        <v>4.2</v>
      </c>
      <c r="B470" s="19">
        <f t="shared" si="19"/>
        <v>4.2</v>
      </c>
      <c r="C470" s="20">
        <v>431.6168253874</v>
      </c>
      <c r="D470" s="19">
        <f t="shared" si="20"/>
        <v>523.9478966574</v>
      </c>
    </row>
    <row r="471" spans="1:4" ht="15">
      <c r="A471" s="51">
        <v>4.25</v>
      </c>
      <c r="B471" s="19">
        <f t="shared" si="19"/>
        <v>4.25</v>
      </c>
      <c r="C471" s="20">
        <v>424.54205374329996</v>
      </c>
      <c r="D471" s="19">
        <f t="shared" si="20"/>
        <v>516.8731250133</v>
      </c>
    </row>
    <row r="472" spans="1:4" ht="15">
      <c r="A472" s="51">
        <v>4.3</v>
      </c>
      <c r="B472" s="19">
        <f t="shared" si="19"/>
        <v>4.3</v>
      </c>
      <c r="C472" s="20">
        <v>414.4345947945001</v>
      </c>
      <c r="D472" s="19">
        <f t="shared" si="20"/>
        <v>506.76566606450007</v>
      </c>
    </row>
    <row r="473" spans="1:4" ht="15">
      <c r="A473" s="51">
        <v>4.35</v>
      </c>
      <c r="B473" s="19">
        <f t="shared" si="19"/>
        <v>4.35</v>
      </c>
      <c r="C473" s="20">
        <v>408.3849568872</v>
      </c>
      <c r="D473" s="19">
        <f t="shared" si="20"/>
        <v>500.7160281572</v>
      </c>
    </row>
    <row r="474" spans="1:4" ht="15">
      <c r="A474" s="51">
        <v>4.4</v>
      </c>
      <c r="B474" s="19">
        <f t="shared" si="19"/>
        <v>4.4</v>
      </c>
      <c r="C474" s="20">
        <v>401.9981039349</v>
      </c>
      <c r="D474" s="19">
        <f t="shared" si="20"/>
        <v>494.32917520489997</v>
      </c>
    </row>
    <row r="475" spans="1:4" ht="15">
      <c r="A475" s="51">
        <v>4.45</v>
      </c>
      <c r="B475" s="19">
        <f t="shared" si="19"/>
        <v>4.45</v>
      </c>
      <c r="C475" s="20">
        <v>396.2069975621</v>
      </c>
      <c r="D475" s="19">
        <f t="shared" si="20"/>
        <v>488.5380688321</v>
      </c>
    </row>
    <row r="476" spans="1:4" ht="15">
      <c r="A476" s="51">
        <v>4.5</v>
      </c>
      <c r="B476" s="19">
        <f t="shared" si="19"/>
        <v>4.5</v>
      </c>
      <c r="C476" s="20">
        <v>390.6474455202</v>
      </c>
      <c r="D476" s="19">
        <f t="shared" si="20"/>
        <v>482.9785167902</v>
      </c>
    </row>
    <row r="477" spans="1:4" ht="15">
      <c r="A477" s="51">
        <v>4.55</v>
      </c>
      <c r="B477" s="19">
        <f t="shared" si="19"/>
        <v>4.55</v>
      </c>
      <c r="C477" s="20">
        <v>385.1778174903</v>
      </c>
      <c r="D477" s="19">
        <f t="shared" si="20"/>
        <v>477.5088887603</v>
      </c>
    </row>
    <row r="478" spans="1:4" ht="15">
      <c r="A478" s="51">
        <v>4.6</v>
      </c>
      <c r="B478" s="19">
        <f t="shared" si="19"/>
        <v>4.6</v>
      </c>
      <c r="C478" s="20">
        <v>379.6070249469</v>
      </c>
      <c r="D478" s="19">
        <f t="shared" si="20"/>
        <v>471.9380962169</v>
      </c>
    </row>
    <row r="479" spans="1:4" ht="15">
      <c r="A479" s="51">
        <v>4.65</v>
      </c>
      <c r="B479" s="19">
        <f t="shared" si="19"/>
        <v>4.65</v>
      </c>
      <c r="C479" s="20">
        <v>374.9489611253</v>
      </c>
      <c r="D479" s="19">
        <f t="shared" si="20"/>
        <v>467.2800323953</v>
      </c>
    </row>
    <row r="480" spans="1:4" ht="15">
      <c r="A480" s="51">
        <v>4.7</v>
      </c>
      <c r="B480" s="19">
        <f t="shared" si="19"/>
        <v>4.7</v>
      </c>
      <c r="C480" s="20">
        <v>370.5809022424</v>
      </c>
      <c r="D480" s="19">
        <f t="shared" si="20"/>
        <v>462.9119735124</v>
      </c>
    </row>
    <row r="481" spans="1:4" ht="15">
      <c r="A481" s="51">
        <v>4.75</v>
      </c>
      <c r="B481" s="19">
        <f t="shared" si="19"/>
        <v>4.75</v>
      </c>
      <c r="C481" s="20">
        <v>363.9849759622</v>
      </c>
      <c r="D481" s="19">
        <f t="shared" si="20"/>
        <v>456.3160472322</v>
      </c>
    </row>
    <row r="482" spans="1:4" ht="15">
      <c r="A482" s="51">
        <v>4.9</v>
      </c>
      <c r="B482" s="19">
        <f t="shared" si="19"/>
        <v>4.9</v>
      </c>
      <c r="C482" s="20">
        <v>350.2828046337</v>
      </c>
      <c r="D482" s="19">
        <f t="shared" si="20"/>
        <v>442.6138759037</v>
      </c>
    </row>
    <row r="483" spans="1:4" ht="15">
      <c r="A483" s="51">
        <v>4.95</v>
      </c>
      <c r="B483" s="19">
        <f t="shared" si="19"/>
        <v>4.95</v>
      </c>
      <c r="C483" s="20">
        <v>346.0473836685</v>
      </c>
      <c r="D483" s="19">
        <f t="shared" si="20"/>
        <v>438.3784549385</v>
      </c>
    </row>
    <row r="484" spans="1:4" ht="15">
      <c r="A484" s="51">
        <v>5</v>
      </c>
      <c r="B484" s="19">
        <f t="shared" si="19"/>
        <v>5</v>
      </c>
      <c r="C484" s="20">
        <v>339.62006491079995</v>
      </c>
      <c r="D484" s="19">
        <f t="shared" si="20"/>
        <v>431.95113618079995</v>
      </c>
    </row>
    <row r="485" spans="1:4" ht="15">
      <c r="A485" s="51">
        <v>5.1</v>
      </c>
      <c r="B485" s="19">
        <f t="shared" si="19"/>
        <v>5.1</v>
      </c>
      <c r="C485" s="20">
        <v>332.1766048175</v>
      </c>
      <c r="D485" s="19">
        <f t="shared" si="20"/>
        <v>424.5076760875</v>
      </c>
    </row>
    <row r="486" spans="1:4" ht="15">
      <c r="A486" s="51">
        <v>5.15</v>
      </c>
      <c r="B486" s="19">
        <f t="shared" si="19"/>
        <v>5.15</v>
      </c>
      <c r="C486" s="20">
        <v>330.81650413600005</v>
      </c>
      <c r="D486" s="19">
        <f t="shared" si="20"/>
        <v>423.14757540600004</v>
      </c>
    </row>
    <row r="487" spans="1:4" ht="15">
      <c r="A487" s="51">
        <v>5.2</v>
      </c>
      <c r="B487" s="19">
        <f t="shared" si="19"/>
        <v>5.2</v>
      </c>
      <c r="C487" s="20">
        <v>331.6730303503</v>
      </c>
      <c r="D487" s="19">
        <f t="shared" si="20"/>
        <v>424.0041016203</v>
      </c>
    </row>
    <row r="488" spans="1:4" ht="15">
      <c r="A488" s="51">
        <v>5.24</v>
      </c>
      <c r="B488" s="19">
        <f t="shared" si="19"/>
        <v>5.24</v>
      </c>
      <c r="C488" s="20">
        <v>314.70661738620004</v>
      </c>
      <c r="D488" s="19">
        <f t="shared" si="20"/>
        <v>407.03768865620003</v>
      </c>
    </row>
    <row r="489" spans="1:4" ht="15">
      <c r="A489" s="51">
        <v>5.29</v>
      </c>
      <c r="B489" s="19">
        <f t="shared" si="19"/>
        <v>5.29</v>
      </c>
      <c r="C489" s="20">
        <v>306.3953905771</v>
      </c>
      <c r="D489" s="19">
        <f t="shared" si="20"/>
        <v>398.7264618471</v>
      </c>
    </row>
    <row r="490" spans="1:4" ht="15">
      <c r="A490" s="51">
        <v>5.34</v>
      </c>
      <c r="B490" s="19">
        <f t="shared" si="19"/>
        <v>5.34</v>
      </c>
      <c r="C490" s="20">
        <v>305.9704996204</v>
      </c>
      <c r="D490" s="19">
        <f t="shared" si="20"/>
        <v>398.3015708904</v>
      </c>
    </row>
    <row r="491" spans="1:4" ht="15">
      <c r="A491" s="51">
        <v>5.39</v>
      </c>
      <c r="B491" s="19">
        <f t="shared" si="19"/>
        <v>5.39</v>
      </c>
      <c r="C491" s="20">
        <v>295.341481402</v>
      </c>
      <c r="D491" s="19">
        <f t="shared" si="20"/>
        <v>387.672552672</v>
      </c>
    </row>
    <row r="492" spans="1:4" ht="15">
      <c r="A492" s="51">
        <v>5.44</v>
      </c>
      <c r="B492" s="19">
        <f t="shared" si="19"/>
        <v>5.44</v>
      </c>
      <c r="C492" s="20">
        <v>279.3529920684</v>
      </c>
      <c r="D492" s="19">
        <f t="shared" si="20"/>
        <v>371.6840633384</v>
      </c>
    </row>
    <row r="493" spans="1:4" ht="15">
      <c r="A493" s="51">
        <v>5.49</v>
      </c>
      <c r="B493" s="19">
        <f t="shared" si="19"/>
        <v>5.49</v>
      </c>
      <c r="C493" s="20">
        <v>261.8717641356</v>
      </c>
      <c r="D493" s="19">
        <f t="shared" si="20"/>
        <v>354.2028354056</v>
      </c>
    </row>
    <row r="494" spans="1:4" ht="15">
      <c r="A494" s="51">
        <v>5.54</v>
      </c>
      <c r="B494" s="19">
        <f t="shared" si="19"/>
        <v>5.54</v>
      </c>
      <c r="C494" s="20">
        <v>248.378666135</v>
      </c>
      <c r="D494" s="19">
        <f t="shared" si="20"/>
        <v>340.709737405</v>
      </c>
    </row>
    <row r="495" spans="1:4" ht="15">
      <c r="A495" s="51">
        <v>5.59</v>
      </c>
      <c r="B495" s="19">
        <f t="shared" si="19"/>
        <v>5.59</v>
      </c>
      <c r="C495" s="20">
        <v>235.8275221601</v>
      </c>
      <c r="D495" s="19">
        <f t="shared" si="20"/>
        <v>328.1585934301</v>
      </c>
    </row>
    <row r="496" spans="1:4" ht="15">
      <c r="A496" s="51">
        <v>5.64</v>
      </c>
      <c r="B496" s="19">
        <f t="shared" si="19"/>
        <v>5.64</v>
      </c>
      <c r="C496" s="20">
        <v>227.4218751384</v>
      </c>
      <c r="D496" s="19">
        <f t="shared" si="20"/>
        <v>319.7529464084</v>
      </c>
    </row>
    <row r="497" spans="1:4" ht="15">
      <c r="A497" s="51">
        <v>5.74</v>
      </c>
      <c r="B497" s="19">
        <f t="shared" si="19"/>
        <v>5.74</v>
      </c>
      <c r="C497" s="20">
        <v>212.7148029758</v>
      </c>
      <c r="D497" s="19">
        <f t="shared" si="20"/>
        <v>305.0458742458</v>
      </c>
    </row>
    <row r="498" spans="1:4" ht="15">
      <c r="A498" s="51">
        <v>5.79</v>
      </c>
      <c r="B498" s="19">
        <f t="shared" si="19"/>
        <v>5.79</v>
      </c>
      <c r="C498" s="20">
        <v>208.8053565541</v>
      </c>
      <c r="D498" s="19">
        <f t="shared" si="20"/>
        <v>301.1364278241</v>
      </c>
    </row>
    <row r="499" spans="1:4" ht="15">
      <c r="A499" s="51">
        <v>5.84</v>
      </c>
      <c r="B499" s="19">
        <f t="shared" si="19"/>
        <v>5.84</v>
      </c>
      <c r="C499" s="20">
        <v>201.26073194730003</v>
      </c>
      <c r="D499" s="19">
        <f t="shared" si="20"/>
        <v>293.5918032173</v>
      </c>
    </row>
    <row r="500" spans="1:4" ht="15">
      <c r="A500" s="51">
        <v>5.89</v>
      </c>
      <c r="B500" s="19">
        <f t="shared" si="19"/>
        <v>5.89</v>
      </c>
      <c r="C500" s="20">
        <v>184.8833212618</v>
      </c>
      <c r="D500" s="19">
        <f t="shared" si="20"/>
        <v>277.2143925318</v>
      </c>
    </row>
    <row r="501" spans="1:4" ht="15">
      <c r="A501" s="51">
        <v>5.94</v>
      </c>
      <c r="B501" s="19">
        <f t="shared" si="19"/>
        <v>5.94</v>
      </c>
      <c r="C501" s="20">
        <v>164.8055374825</v>
      </c>
      <c r="D501" s="19">
        <f t="shared" si="20"/>
        <v>257.1366087525</v>
      </c>
    </row>
    <row r="502" spans="1:4" ht="15">
      <c r="A502" s="51">
        <v>5.99</v>
      </c>
      <c r="B502" s="19">
        <f t="shared" si="19"/>
        <v>5.99</v>
      </c>
      <c r="C502" s="20">
        <v>147.0612818146</v>
      </c>
      <c r="D502" s="19">
        <f t="shared" si="20"/>
        <v>239.3923530846</v>
      </c>
    </row>
    <row r="503" spans="1:4" ht="15">
      <c r="A503" s="51">
        <v>6.04</v>
      </c>
      <c r="B503" s="19">
        <f t="shared" si="19"/>
        <v>6.04</v>
      </c>
      <c r="C503" s="20">
        <v>134.3662594205</v>
      </c>
      <c r="D503" s="19">
        <f t="shared" si="20"/>
        <v>226.6973306905</v>
      </c>
    </row>
    <row r="504" spans="1:4" ht="15">
      <c r="A504" s="51">
        <v>6.09</v>
      </c>
      <c r="B504" s="19">
        <f t="shared" si="19"/>
        <v>6.09</v>
      </c>
      <c r="C504" s="20">
        <v>128.2042164982</v>
      </c>
      <c r="D504" s="19">
        <f t="shared" si="20"/>
        <v>220.5352877682</v>
      </c>
    </row>
    <row r="505" spans="1:4" ht="15">
      <c r="A505" s="51">
        <v>6.14</v>
      </c>
      <c r="B505" s="19">
        <f t="shared" si="19"/>
        <v>6.14</v>
      </c>
      <c r="C505" s="20">
        <v>123.024593407</v>
      </c>
      <c r="D505" s="19">
        <f t="shared" si="20"/>
        <v>215.355664677</v>
      </c>
    </row>
    <row r="506" spans="1:4" ht="15">
      <c r="A506" s="51">
        <v>6.19</v>
      </c>
      <c r="B506" s="19">
        <f t="shared" si="19"/>
        <v>6.19</v>
      </c>
      <c r="C506" s="20">
        <v>118.65653452410001</v>
      </c>
      <c r="D506" s="19">
        <f t="shared" si="20"/>
        <v>210.9876057941</v>
      </c>
    </row>
    <row r="507" spans="1:4" ht="15">
      <c r="A507" s="51">
        <v>6.24</v>
      </c>
      <c r="B507" s="19">
        <f t="shared" si="19"/>
        <v>6.24</v>
      </c>
      <c r="C507" s="20">
        <v>113.6769923596</v>
      </c>
      <c r="D507" s="19">
        <f t="shared" si="20"/>
        <v>206.0080636296</v>
      </c>
    </row>
    <row r="508" spans="1:4" ht="15">
      <c r="A508" s="51">
        <v>6.29</v>
      </c>
      <c r="B508" s="19">
        <f t="shared" si="19"/>
        <v>6.29</v>
      </c>
      <c r="C508" s="20">
        <v>107.5374304403</v>
      </c>
      <c r="D508" s="19">
        <f t="shared" si="20"/>
        <v>199.8685017103</v>
      </c>
    </row>
    <row r="509" spans="1:4" ht="15">
      <c r="A509" s="51">
        <v>6.34</v>
      </c>
      <c r="B509" s="19">
        <f aca="true" t="shared" si="21" ref="B509:B519">B$399+A509</f>
        <v>6.34</v>
      </c>
      <c r="C509" s="20">
        <v>102.611842683</v>
      </c>
      <c r="D509" s="19">
        <f t="shared" si="20"/>
        <v>194.94291395300002</v>
      </c>
    </row>
    <row r="510" spans="1:4" ht="15">
      <c r="A510" s="51">
        <v>6.44</v>
      </c>
      <c r="B510" s="19">
        <f t="shared" si="21"/>
        <v>6.44</v>
      </c>
      <c r="C510" s="20">
        <v>96.1620429223</v>
      </c>
      <c r="D510" s="19">
        <f t="shared" si="20"/>
        <v>188.4931141923</v>
      </c>
    </row>
    <row r="511" spans="1:4" ht="15">
      <c r="A511" s="51">
        <v>6.49</v>
      </c>
      <c r="B511" s="19">
        <f t="shared" si="21"/>
        <v>6.49</v>
      </c>
      <c r="C511" s="20">
        <v>94.3343373784</v>
      </c>
      <c r="D511" s="19">
        <f t="shared" si="20"/>
        <v>186.6654086484</v>
      </c>
    </row>
    <row r="512" spans="1:4" ht="15">
      <c r="A512" s="51">
        <v>6.54</v>
      </c>
      <c r="B512" s="19">
        <f t="shared" si="21"/>
        <v>6.54</v>
      </c>
      <c r="C512" s="20">
        <v>93.0866417119</v>
      </c>
      <c r="D512" s="19">
        <f t="shared" si="20"/>
        <v>185.4177129819</v>
      </c>
    </row>
    <row r="513" spans="1:4" ht="15">
      <c r="A513" s="51">
        <v>6.59</v>
      </c>
      <c r="B513" s="19">
        <f t="shared" si="21"/>
        <v>6.59</v>
      </c>
      <c r="C513" s="20">
        <v>92.2953104063</v>
      </c>
      <c r="D513" s="19">
        <f t="shared" si="20"/>
        <v>184.6263816763</v>
      </c>
    </row>
    <row r="514" spans="1:4" ht="15">
      <c r="A514" s="51">
        <v>6.64</v>
      </c>
      <c r="B514" s="19">
        <f t="shared" si="21"/>
        <v>6.64</v>
      </c>
      <c r="C514" s="20">
        <v>91.6388651187</v>
      </c>
      <c r="D514" s="19">
        <f t="shared" si="20"/>
        <v>183.96993638869998</v>
      </c>
    </row>
    <row r="515" spans="1:4" ht="15">
      <c r="A515" s="51">
        <v>6.69</v>
      </c>
      <c r="B515" s="19">
        <f t="shared" si="21"/>
        <v>6.69</v>
      </c>
      <c r="C515" s="20">
        <v>90.9689312293</v>
      </c>
      <c r="D515" s="19">
        <f t="shared" si="20"/>
        <v>183.30000249929998</v>
      </c>
    </row>
    <row r="516" spans="1:4" ht="15">
      <c r="A516" s="51">
        <v>6.74</v>
      </c>
      <c r="B516" s="19">
        <f t="shared" si="21"/>
        <v>6.74</v>
      </c>
      <c r="C516" s="20">
        <v>90.5800098774</v>
      </c>
      <c r="D516" s="19">
        <f t="shared" si="20"/>
        <v>182.9110811474</v>
      </c>
    </row>
    <row r="517" spans="1:4" ht="15">
      <c r="A517" s="51">
        <v>6.79</v>
      </c>
      <c r="B517" s="19">
        <f t="shared" si="21"/>
        <v>6.79</v>
      </c>
      <c r="C517" s="20">
        <v>90.3686884492</v>
      </c>
      <c r="D517" s="19">
        <f t="shared" si="20"/>
        <v>182.6997597192</v>
      </c>
    </row>
    <row r="518" spans="1:4" ht="15">
      <c r="A518" s="51">
        <v>6.9</v>
      </c>
      <c r="B518" s="19">
        <f t="shared" si="21"/>
        <v>6.9</v>
      </c>
      <c r="C518" s="20">
        <v>90.157367021</v>
      </c>
      <c r="D518" s="19">
        <f t="shared" si="20"/>
        <v>182.488438291</v>
      </c>
    </row>
    <row r="519" spans="1:4" ht="15">
      <c r="A519" s="51">
        <v>7</v>
      </c>
      <c r="B519" s="19">
        <f t="shared" si="21"/>
        <v>7</v>
      </c>
      <c r="C519" s="20">
        <v>0</v>
      </c>
      <c r="D519" s="19">
        <f t="shared" si="20"/>
        <v>0</v>
      </c>
    </row>
    <row r="520" ht="15"/>
    <row r="521" ht="15"/>
    <row r="522" ht="15"/>
    <row r="523" spans="1:3" ht="17.25">
      <c r="A523" s="42" t="s">
        <v>208</v>
      </c>
      <c r="B523" s="20">
        <v>0.04363</v>
      </c>
      <c r="C523" s="45"/>
    </row>
    <row r="524" spans="1:3" ht="15">
      <c r="A524" s="42" t="s">
        <v>313</v>
      </c>
      <c r="B524" s="19">
        <f>SUMPRODUCT(D399:D518+D400:D519,A400:A519-A399:A518)/2</f>
        <v>3622.2146344302787</v>
      </c>
      <c r="C524" s="45" t="s">
        <v>59</v>
      </c>
    </row>
    <row r="525" spans="1:4" ht="15">
      <c r="A525" s="42" t="s">
        <v>314</v>
      </c>
      <c r="B525" s="19">
        <f>IF(B524=0,1,B524/B390)</f>
        <v>303.6223499103335</v>
      </c>
      <c r="C525" s="45" t="s">
        <v>59</v>
      </c>
      <c r="D525" s="11" t="s">
        <v>134</v>
      </c>
    </row>
    <row r="526" ht="15"/>
    <row r="527" ht="15"/>
    <row r="528" ht="15">
      <c r="A528" s="66" t="s">
        <v>288</v>
      </c>
    </row>
    <row r="529" spans="1:5" ht="15" customHeight="1">
      <c r="A529" s="18" t="s">
        <v>60</v>
      </c>
      <c r="B529" s="18" t="s">
        <v>61</v>
      </c>
      <c r="C529" s="18" t="s">
        <v>62</v>
      </c>
      <c r="D529" s="18" t="s">
        <v>63</v>
      </c>
      <c r="E529" s="81"/>
    </row>
    <row r="530" spans="1:5" ht="15">
      <c r="A530" s="78" t="s">
        <v>257</v>
      </c>
      <c r="B530" s="52" t="e">
        <f>IF(B82=TRUE,C$111+C$112+C$113+C$251+C$252+C$253+C$390+C$391+C$392,NA())</f>
        <v>#N/A</v>
      </c>
      <c r="C530" s="52" t="e">
        <f>B530/B$5</f>
        <v>#N/A</v>
      </c>
      <c r="D530" s="52" t="e">
        <f>B530</f>
        <v>#N/A</v>
      </c>
      <c r="E530" s="81"/>
    </row>
    <row r="531" spans="1:5" ht="15">
      <c r="A531" s="78" t="s">
        <v>267</v>
      </c>
      <c r="B531" s="52" t="e">
        <f>IF(B83=TRUE,D530,NA())</f>
        <v>#N/A</v>
      </c>
      <c r="C531" s="52" t="e">
        <f aca="true" t="shared" si="22" ref="C531:C542">B531/B$5</f>
        <v>#N/A</v>
      </c>
      <c r="D531" s="52" t="e">
        <f>B531</f>
        <v>#N/A</v>
      </c>
      <c r="E531" s="81"/>
    </row>
    <row r="532" spans="1:5" ht="15">
      <c r="A532" s="78" t="s">
        <v>256</v>
      </c>
      <c r="B532" s="52">
        <f>IF(B84=TRUE,C$111+C$112+C$113+C$251+C$252+C$253+C$390+C$391+C$392,NA())</f>
        <v>61</v>
      </c>
      <c r="C532" s="52">
        <f t="shared" si="22"/>
        <v>1.8959408217815628</v>
      </c>
      <c r="D532" s="19">
        <f>B532</f>
        <v>61</v>
      </c>
      <c r="E532" s="81"/>
    </row>
    <row r="533" spans="1:5" ht="15">
      <c r="A533" s="78" t="s">
        <v>264</v>
      </c>
      <c r="B533" s="52">
        <f>IF(B85=TRUE,IF(B84=TRUE,D532,IF(B83=TRUE,D531,D530)),NA())</f>
        <v>61</v>
      </c>
      <c r="C533" s="52">
        <f t="shared" si="22"/>
        <v>1.8959408217815628</v>
      </c>
      <c r="D533" s="19">
        <f>IF(B533=FALSE,NA(),B533-C111)</f>
        <v>51</v>
      </c>
      <c r="E533" s="81"/>
    </row>
    <row r="534" spans="1:5" ht="15">
      <c r="A534" s="78" t="s">
        <v>255</v>
      </c>
      <c r="B534" s="95">
        <f>IF(B86=TRUE,D533,NA())</f>
        <v>51</v>
      </c>
      <c r="C534" s="52">
        <f t="shared" si="22"/>
        <v>1.5851308509977</v>
      </c>
      <c r="D534" s="19">
        <f>IF(B86=TRUE,B534,NA())</f>
        <v>51</v>
      </c>
      <c r="E534" s="81"/>
    </row>
    <row r="535" spans="1:5" ht="15">
      <c r="A535" s="78" t="s">
        <v>254</v>
      </c>
      <c r="B535" s="19" t="e">
        <f>IF(B87=TRUE,IF(B86=TRUE,D534-C112-C113,D533-C112-C113),NA())</f>
        <v>#N/A</v>
      </c>
      <c r="C535" s="52" t="e">
        <f t="shared" si="22"/>
        <v>#N/A</v>
      </c>
      <c r="D535" s="19" t="e">
        <f>B535</f>
        <v>#N/A</v>
      </c>
      <c r="E535" s="81"/>
    </row>
    <row r="536" spans="1:5" ht="15">
      <c r="A536" s="78" t="s">
        <v>253</v>
      </c>
      <c r="B536" s="19" t="e">
        <f>IF(B88=TRUE,IF(B87=TRUE,D535,IF(B86=TRUE,D534-C112-C113,NA())),NA())</f>
        <v>#N/A</v>
      </c>
      <c r="C536" s="52" t="e">
        <f t="shared" si="22"/>
        <v>#N/A</v>
      </c>
      <c r="D536" s="19" t="e">
        <f>IF(B536=FALSE,NA(),B536-C251)</f>
        <v>#N/A</v>
      </c>
      <c r="E536" s="81"/>
    </row>
    <row r="537" spans="1:5" ht="15">
      <c r="A537" s="78" t="s">
        <v>252</v>
      </c>
      <c r="B537" s="95" t="e">
        <f>IF(B89=TRUE,D536,NA())</f>
        <v>#N/A</v>
      </c>
      <c r="C537" s="52" t="e">
        <f t="shared" si="22"/>
        <v>#N/A</v>
      </c>
      <c r="D537" s="19" t="e">
        <f>IF(B89=TRUE,B537,NA())</f>
        <v>#N/A</v>
      </c>
      <c r="E537" s="81"/>
    </row>
    <row r="538" spans="1:5" ht="15">
      <c r="A538" s="78" t="s">
        <v>251</v>
      </c>
      <c r="B538" s="19" t="e">
        <f>IF(B90=TRUE,IF(B89=TRUE,D537-C252-C253,D536-C252-C253),NA())</f>
        <v>#N/A</v>
      </c>
      <c r="C538" s="52" t="e">
        <f t="shared" si="22"/>
        <v>#N/A</v>
      </c>
      <c r="D538" s="19" t="e">
        <f>B538</f>
        <v>#N/A</v>
      </c>
      <c r="E538" s="81"/>
    </row>
    <row r="539" spans="1:5" ht="15">
      <c r="A539" s="78" t="s">
        <v>247</v>
      </c>
      <c r="B539" s="19" t="e">
        <f>IF(B91=TRUE,IF(B90=TRUE,D538,IF(B89=TRUE,D537-C252-C253,NA())),NA())</f>
        <v>#N/A</v>
      </c>
      <c r="C539" s="52" t="e">
        <f t="shared" si="22"/>
        <v>#N/A</v>
      </c>
      <c r="D539" s="19" t="e">
        <f>IF(B539=FALSE,NA(),B539-C390)</f>
        <v>#N/A</v>
      </c>
      <c r="E539" s="81"/>
    </row>
    <row r="540" spans="1:5" ht="15">
      <c r="A540" s="78" t="s">
        <v>248</v>
      </c>
      <c r="B540" s="19" t="e">
        <f>IF(B92=TRUE,D539,NA())</f>
        <v>#N/A</v>
      </c>
      <c r="C540" s="52" t="e">
        <f t="shared" si="22"/>
        <v>#N/A</v>
      </c>
      <c r="D540" s="19" t="e">
        <f>B540</f>
        <v>#N/A</v>
      </c>
      <c r="E540" s="81"/>
    </row>
    <row r="541" spans="1:5" ht="15">
      <c r="A541" s="78" t="s">
        <v>249</v>
      </c>
      <c r="B541" s="19" t="e">
        <f>IF(B93=TRUE,IF(B91=TRUE,D540,IF(B90=TRUE,D538,IF(B88=TRUE,D537,IF(B87=TRUE,D535,D534)))),NA())</f>
        <v>#N/A</v>
      </c>
      <c r="C541" s="52" t="e">
        <f t="shared" si="22"/>
        <v>#N/A</v>
      </c>
      <c r="D541" s="19" t="e">
        <f>B541</f>
        <v>#N/A</v>
      </c>
      <c r="E541" s="81"/>
    </row>
    <row r="542" spans="1:5" ht="15">
      <c r="A542" s="78" t="s">
        <v>250</v>
      </c>
      <c r="B542" s="19" t="e">
        <f>IF(B94=TRUE,IF(B93=TRUE,D541,IF(B91=TRUE,D540,IF(B90=TRUE,D538,IF(88=TRUE,D537,IF(B87=TRUE,D535,IF(B85=TRUE,D534,IF(B83=TRUE,D531,D530))))))),NA())</f>
        <v>#N/A</v>
      </c>
      <c r="C542" s="52" t="e">
        <f t="shared" si="22"/>
        <v>#N/A</v>
      </c>
      <c r="D542" s="19" t="e">
        <f>B542</f>
        <v>#N/A</v>
      </c>
      <c r="E542" s="81"/>
    </row>
    <row r="543" ht="15"/>
    <row r="544" spans="1:3" ht="15">
      <c r="A544" s="12" t="s">
        <v>280</v>
      </c>
      <c r="B544" s="91" t="b">
        <v>1</v>
      </c>
      <c r="C544" s="11" t="s">
        <v>299</v>
      </c>
    </row>
    <row r="545" spans="2:4" ht="15">
      <c r="B545" s="12" t="s">
        <v>294</v>
      </c>
      <c r="C545" s="12" t="s">
        <v>295</v>
      </c>
      <c r="D545" s="12" t="s">
        <v>296</v>
      </c>
    </row>
    <row r="546" spans="1:4" ht="15">
      <c r="A546" s="78" t="s">
        <v>70</v>
      </c>
      <c r="B546"/>
      <c r="C546" s="11" t="str">
        <f>IF(B82=TRUE," 1 - First Stage on Coasting Flight",IF(B84=TRUE," 3 - First Stage Powered Flight on launcher","ERROR"))</f>
        <v> 3 - First Stage Powered Flight on launcher</v>
      </c>
      <c r="D546" s="11" t="s">
        <v>297</v>
      </c>
    </row>
    <row r="547" spans="1:4" ht="15">
      <c r="A547" s="78" t="s">
        <v>281</v>
      </c>
      <c r="B547"/>
      <c r="C547" s="11">
        <v>0</v>
      </c>
      <c r="D547"/>
    </row>
    <row r="548" spans="1:4" ht="15">
      <c r="A548" s="78" t="s">
        <v>171</v>
      </c>
      <c r="B548"/>
      <c r="C548" s="11">
        <f>Vrelative(B68,B67)/SOS(Temperature(0,G8,G7,B13,G11,B65),1.4,B10)</f>
        <v>0</v>
      </c>
      <c r="D548" s="11" t="str">
        <f>"N/A"</f>
        <v>N/A</v>
      </c>
    </row>
    <row r="549" spans="1:4" ht="15">
      <c r="A549" s="78" t="s">
        <v>282</v>
      </c>
      <c r="B549"/>
      <c r="C549" s="11">
        <f>B65</f>
        <v>1898</v>
      </c>
      <c r="D549" s="11">
        <f>B72</f>
        <v>1898</v>
      </c>
    </row>
    <row r="550" spans="1:4" ht="15">
      <c r="A550" s="78" t="s">
        <v>283</v>
      </c>
      <c r="B550"/>
      <c r="C550" s="11">
        <f>0</f>
        <v>0</v>
      </c>
      <c r="D550" s="11" t="s">
        <v>297</v>
      </c>
    </row>
    <row r="551" ht="15"/>
    <row r="552" ht="15"/>
    <row r="553" ht="15"/>
    <row r="554" ht="15"/>
    <row r="555" ht="15"/>
    <row r="556" ht="15"/>
    <row r="557" ht="15"/>
    <row r="558" ht="15">
      <c r="A558"/>
    </row>
    <row r="559" ht="15">
      <c r="A559"/>
    </row>
    <row r="560" ht="15">
      <c r="A560"/>
    </row>
    <row r="561" ht="15">
      <c r="A561"/>
    </row>
    <row r="562" ht="15">
      <c r="A562"/>
    </row>
    <row r="563" ht="15"/>
    <row r="564" ht="15"/>
    <row r="568" spans="5:13" ht="15">
      <c r="E568" s="107"/>
      <c r="F568" s="107"/>
      <c r="G568" s="107"/>
      <c r="H568" s="107"/>
      <c r="I568" s="107"/>
      <c r="J568" s="107"/>
      <c r="K568" s="53"/>
      <c r="L568" s="53"/>
      <c r="M568" s="53"/>
    </row>
    <row r="576" spans="4:10" ht="15">
      <c r="D576" s="107"/>
      <c r="E576" s="107"/>
      <c r="F576" s="107"/>
      <c r="H576" s="107"/>
      <c r="I576" s="107"/>
      <c r="J576" s="107"/>
    </row>
  </sheetData>
  <sheetProtection/>
  <protectedRanges>
    <protectedRange sqref="B523 A399:A519 F396:F397 B390:B394 B383 A260:A380 C260:C380 E260:G279 F257:F258 B251:B256 B244 E120:G134 F117:F118 B111:B116 B101:B107 F101 F103 F106 G21:G62 B544 D118 D258 D397 B96:B98 B82:C94 A120:A240 C120:C240 L21:N62 B65:B74" name="Range1"/>
    <protectedRange sqref="G9 B73 G18" name="Range2"/>
    <protectedRange sqref="E399:G418" name="Range1_1"/>
    <protectedRange sqref="C399:C519" name="Range1_2"/>
  </protectedRanges>
  <mergeCells count="8">
    <mergeCell ref="E76:E79"/>
    <mergeCell ref="H576:J576"/>
    <mergeCell ref="D576:F576"/>
    <mergeCell ref="A3:D3"/>
    <mergeCell ref="F3:H3"/>
    <mergeCell ref="A80:C80"/>
    <mergeCell ref="E568:G568"/>
    <mergeCell ref="H568:J568"/>
  </mergeCells>
  <conditionalFormatting sqref="G83:G84">
    <cfRule type="cellIs" priority="5" dxfId="3" operator="equal" stopIfTrue="1">
      <formula>"ERROR"</formula>
    </cfRule>
    <cfRule type="cellIs" priority="6" dxfId="2" operator="equal" stopIfTrue="1">
      <formula>"Pass"</formula>
    </cfRule>
  </conditionalFormatting>
  <conditionalFormatting sqref="F76:F78">
    <cfRule type="cellIs" priority="3" dxfId="3" operator="equal" stopIfTrue="1">
      <formula>"ERROR"</formula>
    </cfRule>
    <cfRule type="cellIs" priority="4" dxfId="2" operator="equal" stopIfTrue="1">
      <formula>"Good"</formula>
    </cfRule>
  </conditionalFormatting>
  <conditionalFormatting sqref="F82:F94">
    <cfRule type="cellIs" priority="11" dxfId="6" operator="equal" stopIfTrue="1">
      <formula>"ERROR"</formula>
    </cfRule>
    <cfRule type="cellIs" priority="12" dxfId="7" operator="equal" stopIfTrue="1">
      <formula>"OK"</formula>
    </cfRule>
  </conditionalFormatting>
  <printOptions/>
  <pageMargins left="0.7" right="0.7" top="0.75" bottom="0.75" header="0.3" footer="0.3"/>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olution"/>
  <dimension ref="A1:BH1576"/>
  <sheetViews>
    <sheetView zoomScalePageLayoutView="0" workbookViewId="0" topLeftCell="A1">
      <pane xSplit="3" ySplit="9" topLeftCell="S1118" activePane="bottomRight" state="frozen"/>
      <selection pane="topLeft" activeCell="A1" sqref="A1"/>
      <selection pane="topRight" activeCell="D1" sqref="D1"/>
      <selection pane="bottomLeft" activeCell="A10" sqref="A10"/>
      <selection pane="bottomRight" activeCell="Q1133" sqref="Q1133"/>
    </sheetView>
  </sheetViews>
  <sheetFormatPr defaultColWidth="9.140625" defaultRowHeight="15"/>
  <cols>
    <col min="1" max="1" width="9.7109375" style="0" customWidth="1"/>
    <col min="2" max="2" width="19.57421875" style="0" customWidth="1"/>
    <col min="3" max="3" width="30.28125" style="0" customWidth="1"/>
    <col min="4" max="4" width="9.57421875" style="0" customWidth="1"/>
    <col min="5" max="5" width="15.8515625" style="0" customWidth="1"/>
    <col min="6" max="6" width="11.8515625" style="0" customWidth="1"/>
    <col min="8" max="9" width="8.57421875" style="0" customWidth="1"/>
    <col min="10" max="10" width="8.8515625" style="0" customWidth="1"/>
    <col min="11" max="12" width="8.57421875" style="0" customWidth="1"/>
    <col min="13" max="13" width="8.8515625" style="0" customWidth="1"/>
    <col min="15" max="15" width="9.00390625" style="0" customWidth="1"/>
    <col min="17" max="17" width="10.421875" style="0" customWidth="1"/>
    <col min="18" max="20" width="10.28125" style="0" customWidth="1"/>
    <col min="21" max="22" width="10.00390625" style="0" customWidth="1"/>
    <col min="23" max="24" width="11.00390625" style="0" customWidth="1"/>
    <col min="25" max="25" width="14.7109375" style="0" customWidth="1"/>
    <col min="26" max="27" width="10.57421875" style="0" customWidth="1"/>
    <col min="28" max="28" width="12.57421875" style="0" customWidth="1"/>
    <col min="29" max="29" width="11.00390625" style="0" customWidth="1"/>
    <col min="31" max="31" width="9.00390625" style="0" customWidth="1"/>
    <col min="32" max="32" width="10.7109375" style="0" customWidth="1"/>
    <col min="33" max="34" width="11.421875" style="0" customWidth="1"/>
    <col min="35" max="35" width="12.00390625" style="0" customWidth="1"/>
    <col min="36" max="37" width="11.140625" style="0" customWidth="1"/>
    <col min="38" max="38" width="10.57421875" style="0" customWidth="1"/>
    <col min="39" max="39" width="14.57421875" style="0" customWidth="1"/>
    <col min="40" max="40" width="13.8515625" style="0" customWidth="1"/>
    <col min="41" max="41" width="11.7109375" style="0" customWidth="1"/>
    <col min="42" max="42" width="15.57421875" style="0" customWidth="1"/>
    <col min="43" max="43" width="13.57421875" style="0" customWidth="1"/>
    <col min="44" max="44" width="18.00390625" style="0" customWidth="1"/>
    <col min="45" max="45" width="13.28125" style="0" customWidth="1"/>
    <col min="46" max="46" width="12.7109375" style="0" customWidth="1"/>
    <col min="47" max="47" width="18.421875" style="0" customWidth="1"/>
    <col min="48" max="48" width="12.140625" style="0" customWidth="1"/>
    <col min="49" max="49" width="13.140625" style="0" customWidth="1"/>
    <col min="50" max="50" width="18.8515625" style="0" customWidth="1"/>
    <col min="51" max="51" width="19.00390625" style="0" customWidth="1"/>
    <col min="52" max="52" width="19.7109375" style="0" customWidth="1"/>
    <col min="53" max="53" width="15.421875" style="0" customWidth="1"/>
  </cols>
  <sheetData>
    <row r="1" spans="1:50" ht="15">
      <c r="A1" s="67">
        <v>1</v>
      </c>
      <c r="B1" s="67">
        <v>2</v>
      </c>
      <c r="C1" s="67">
        <v>3</v>
      </c>
      <c r="D1" s="67">
        <v>4</v>
      </c>
      <c r="E1" s="67">
        <v>5</v>
      </c>
      <c r="F1" s="67">
        <v>6</v>
      </c>
      <c r="G1" s="67">
        <v>7</v>
      </c>
      <c r="H1" s="67">
        <v>8</v>
      </c>
      <c r="I1" s="67">
        <v>9</v>
      </c>
      <c r="J1" s="67">
        <v>10</v>
      </c>
      <c r="K1" s="67">
        <v>11</v>
      </c>
      <c r="L1" s="67">
        <v>12</v>
      </c>
      <c r="M1" s="67">
        <v>13</v>
      </c>
      <c r="N1" s="67">
        <v>14</v>
      </c>
      <c r="O1" s="67">
        <v>15</v>
      </c>
      <c r="P1" s="67">
        <v>16</v>
      </c>
      <c r="Q1" s="67">
        <v>17</v>
      </c>
      <c r="R1" s="67">
        <v>18</v>
      </c>
      <c r="S1" s="67">
        <v>19</v>
      </c>
      <c r="T1" s="67">
        <v>20</v>
      </c>
      <c r="U1" s="67">
        <v>21</v>
      </c>
      <c r="V1" s="67">
        <v>22</v>
      </c>
      <c r="W1" s="67">
        <v>23</v>
      </c>
      <c r="X1" s="67">
        <v>24</v>
      </c>
      <c r="Y1" s="67">
        <v>25</v>
      </c>
      <c r="Z1" s="67">
        <v>26</v>
      </c>
      <c r="AA1" s="67">
        <v>27</v>
      </c>
      <c r="AB1" s="67">
        <v>28</v>
      </c>
      <c r="AC1" s="67">
        <v>29</v>
      </c>
      <c r="AD1" s="67">
        <v>30</v>
      </c>
      <c r="AE1" s="67">
        <v>31</v>
      </c>
      <c r="AF1" s="67">
        <v>32</v>
      </c>
      <c r="AG1" s="67">
        <v>33</v>
      </c>
      <c r="AH1" s="67">
        <v>34</v>
      </c>
      <c r="AI1" s="67">
        <v>35</v>
      </c>
      <c r="AJ1" s="67">
        <v>36</v>
      </c>
      <c r="AK1" s="67">
        <v>37</v>
      </c>
      <c r="AL1" s="67">
        <v>38</v>
      </c>
      <c r="AM1" s="67">
        <v>39</v>
      </c>
      <c r="AN1" s="67">
        <v>40</v>
      </c>
      <c r="AO1" s="67">
        <v>41</v>
      </c>
      <c r="AP1" s="67">
        <v>42</v>
      </c>
      <c r="AQ1" s="67">
        <v>43</v>
      </c>
      <c r="AR1" s="67">
        <v>44</v>
      </c>
      <c r="AS1" s="67">
        <v>45</v>
      </c>
      <c r="AT1" s="67">
        <v>46</v>
      </c>
      <c r="AU1" s="67">
        <v>47</v>
      </c>
      <c r="AV1" s="67">
        <v>48</v>
      </c>
      <c r="AW1" s="67">
        <v>49</v>
      </c>
      <c r="AX1" s="67">
        <v>50</v>
      </c>
    </row>
    <row r="2" spans="1:50" ht="67.5" customHeight="1">
      <c r="A2" s="9" t="s">
        <v>64</v>
      </c>
      <c r="B2" s="9" t="s">
        <v>268</v>
      </c>
      <c r="C2" s="9" t="s">
        <v>269</v>
      </c>
      <c r="D2" s="4" t="s">
        <v>170</v>
      </c>
      <c r="E2" s="4" t="s">
        <v>270</v>
      </c>
      <c r="F2" s="4" t="s">
        <v>271</v>
      </c>
      <c r="G2" s="4" t="s">
        <v>272</v>
      </c>
      <c r="H2" s="4" t="s">
        <v>273</v>
      </c>
      <c r="I2" s="4" t="s">
        <v>274</v>
      </c>
      <c r="J2" s="4" t="s">
        <v>276</v>
      </c>
      <c r="K2" s="4" t="s">
        <v>274</v>
      </c>
      <c r="L2" s="99" t="s">
        <v>275</v>
      </c>
      <c r="M2" s="4" t="s">
        <v>277</v>
      </c>
      <c r="N2" s="99" t="s">
        <v>275</v>
      </c>
      <c r="O2" s="4" t="s">
        <v>278</v>
      </c>
      <c r="P2" s="4" t="s">
        <v>279</v>
      </c>
      <c r="Q2" s="4" t="s">
        <v>167</v>
      </c>
      <c r="R2" s="4" t="s">
        <v>169</v>
      </c>
      <c r="S2" s="4" t="s">
        <v>238</v>
      </c>
      <c r="T2" s="4" t="s">
        <v>126</v>
      </c>
      <c r="U2" s="4" t="s">
        <v>171</v>
      </c>
      <c r="V2" s="4" t="s">
        <v>76</v>
      </c>
      <c r="W2" s="4" t="s">
        <v>75</v>
      </c>
      <c r="X2" s="4" t="s">
        <v>202</v>
      </c>
      <c r="Y2" s="4" t="s">
        <v>201</v>
      </c>
      <c r="Z2" s="4" t="s">
        <v>172</v>
      </c>
      <c r="AA2" s="4" t="s">
        <v>77</v>
      </c>
      <c r="AB2" s="4" t="s">
        <v>173</v>
      </c>
      <c r="AC2" s="4" t="s">
        <v>298</v>
      </c>
      <c r="AD2" s="4" t="s">
        <v>92</v>
      </c>
      <c r="AE2" s="4" t="s">
        <v>93</v>
      </c>
      <c r="AF2" s="75" t="s">
        <v>213</v>
      </c>
      <c r="AG2" s="4" t="s">
        <v>210</v>
      </c>
      <c r="AH2" s="4" t="s">
        <v>195</v>
      </c>
      <c r="AI2" s="4" t="s">
        <v>78</v>
      </c>
      <c r="AJ2" s="4" t="s">
        <v>176</v>
      </c>
      <c r="AK2" s="4" t="s">
        <v>175</v>
      </c>
      <c r="AL2" s="4" t="s">
        <v>174</v>
      </c>
      <c r="AM2" s="4" t="str">
        <f>IF(inputsheet!G18=TRUE,("In-Plane Impact Range, ft"),IF(inputsheet!G18=FALSE,("Cross-Plane Impact Range, ft"),"Impact Range, ft"))</f>
        <v>Impact Range, ft</v>
      </c>
      <c r="AN2" s="4" t="s">
        <v>104</v>
      </c>
      <c r="AO2" s="4" t="s">
        <v>177</v>
      </c>
      <c r="AP2" s="4" t="s">
        <v>91</v>
      </c>
      <c r="AQ2" s="4" t="s">
        <v>178</v>
      </c>
      <c r="AR2" s="4" t="s">
        <v>179</v>
      </c>
      <c r="AS2" s="4" t="s">
        <v>96</v>
      </c>
      <c r="AT2" s="4" t="s">
        <v>180</v>
      </c>
      <c r="AU2" s="4" t="s">
        <v>181</v>
      </c>
      <c r="AV2" s="4" t="s">
        <v>100</v>
      </c>
      <c r="AW2" s="4" t="s">
        <v>182</v>
      </c>
      <c r="AX2" s="4" t="s">
        <v>183</v>
      </c>
    </row>
    <row r="3" spans="1:50" ht="30" customHeight="1">
      <c r="A3" s="61" t="s">
        <v>65</v>
      </c>
      <c r="B3" s="87"/>
      <c r="C3" s="89"/>
      <c r="D3" s="88"/>
      <c r="E3" s="90"/>
      <c r="F3" s="62"/>
      <c r="G3" s="5"/>
      <c r="H3" s="5"/>
      <c r="I3" s="6"/>
      <c r="J3" s="6"/>
      <c r="K3" s="98"/>
      <c r="L3" s="100"/>
      <c r="M3" s="101"/>
      <c r="N3" s="101"/>
      <c r="Q3" s="8" t="s">
        <v>80</v>
      </c>
      <c r="R3" s="8" t="s">
        <v>80</v>
      </c>
      <c r="S3" s="8" t="s">
        <v>118</v>
      </c>
      <c r="T3" s="8" t="s">
        <v>84</v>
      </c>
      <c r="U3" s="8" t="s">
        <v>122</v>
      </c>
      <c r="V3" s="8" t="s">
        <v>83</v>
      </c>
      <c r="W3" s="8" t="s">
        <v>79</v>
      </c>
      <c r="X3" s="8" t="s">
        <v>82</v>
      </c>
      <c r="Y3" s="8" t="s">
        <v>81</v>
      </c>
      <c r="Z3" s="8" t="s">
        <v>120</v>
      </c>
      <c r="AA3" s="8" t="s">
        <v>123</v>
      </c>
      <c r="AB3" s="8" t="s">
        <v>85</v>
      </c>
      <c r="AC3" s="8" t="s">
        <v>86</v>
      </c>
      <c r="AD3" s="8" t="s">
        <v>121</v>
      </c>
      <c r="AE3" s="10" t="s">
        <v>87</v>
      </c>
      <c r="AF3" s="76" t="s">
        <v>114</v>
      </c>
      <c r="AG3" s="10" t="s">
        <v>124</v>
      </c>
      <c r="AH3" s="10" t="s">
        <v>196</v>
      </c>
      <c r="AI3" s="10" t="s">
        <v>125</v>
      </c>
      <c r="AJ3" s="63" t="s">
        <v>184</v>
      </c>
      <c r="AK3" s="64" t="s">
        <v>88</v>
      </c>
      <c r="AL3" s="64" t="s">
        <v>89</v>
      </c>
      <c r="AM3" s="64" t="s">
        <v>113</v>
      </c>
      <c r="AN3" s="64" t="s">
        <v>105</v>
      </c>
      <c r="AO3" s="64" t="s">
        <v>106</v>
      </c>
      <c r="AP3" s="64" t="s">
        <v>90</v>
      </c>
      <c r="AQ3" s="64" t="s">
        <v>94</v>
      </c>
      <c r="AR3" s="64" t="s">
        <v>95</v>
      </c>
      <c r="AS3" s="64" t="s">
        <v>97</v>
      </c>
      <c r="AT3" s="64" t="s">
        <v>98</v>
      </c>
      <c r="AU3" s="64" t="s">
        <v>99</v>
      </c>
      <c r="AV3" s="64" t="s">
        <v>101</v>
      </c>
      <c r="AW3" s="63" t="s">
        <v>102</v>
      </c>
      <c r="AX3" s="64" t="s">
        <v>103</v>
      </c>
    </row>
    <row r="7" spans="39:50" ht="42.75" customHeight="1">
      <c r="AM7" s="4" t="s">
        <v>214</v>
      </c>
      <c r="AN7" s="4" t="s">
        <v>216</v>
      </c>
      <c r="AO7" s="4" t="s">
        <v>215</v>
      </c>
      <c r="AP7" s="4" t="s">
        <v>217</v>
      </c>
      <c r="AQ7" s="4" t="s">
        <v>218</v>
      </c>
      <c r="AR7" s="4" t="s">
        <v>219</v>
      </c>
      <c r="AS7" s="4" t="s">
        <v>220</v>
      </c>
      <c r="AT7" s="4" t="s">
        <v>221</v>
      </c>
      <c r="AU7" s="4" t="s">
        <v>222</v>
      </c>
      <c r="AV7" s="4" t="s">
        <v>223</v>
      </c>
      <c r="AW7" s="4" t="s">
        <v>224</v>
      </c>
      <c r="AX7" s="4" t="s">
        <v>225</v>
      </c>
    </row>
    <row r="8" spans="39:50" ht="22.5" customHeight="1">
      <c r="AM8" s="77" t="s">
        <v>226</v>
      </c>
      <c r="AN8" s="77" t="s">
        <v>229</v>
      </c>
      <c r="AO8" s="77" t="s">
        <v>232</v>
      </c>
      <c r="AP8" s="77" t="s">
        <v>235</v>
      </c>
      <c r="AQ8" s="77" t="s">
        <v>227</v>
      </c>
      <c r="AR8" s="77" t="s">
        <v>230</v>
      </c>
      <c r="AS8" s="77" t="s">
        <v>233</v>
      </c>
      <c r="AT8" s="77" t="s">
        <v>236</v>
      </c>
      <c r="AU8" s="77" t="s">
        <v>228</v>
      </c>
      <c r="AV8" s="77" t="s">
        <v>231</v>
      </c>
      <c r="AW8" s="77" t="s">
        <v>234</v>
      </c>
      <c r="AX8" s="77" t="s">
        <v>237</v>
      </c>
    </row>
    <row r="9" ht="16.5" customHeight="1"/>
    <row r="10" ht="17.25" customHeight="1"/>
    <row r="13" ht="16.5" customHeight="1"/>
    <row r="17" ht="15.75" customHeight="1"/>
    <row r="1574" spans="1:60" s="1" customFormat="1" ht="15">
      <c r="A1574"/>
      <c r="B1574"/>
      <c r="C1574"/>
      <c r="D1574"/>
      <c r="E1574"/>
      <c r="F1574"/>
      <c r="G1574"/>
      <c r="H1574"/>
      <c r="I1574"/>
      <c r="J1574"/>
      <c r="K1574"/>
      <c r="L1574"/>
      <c r="M1574"/>
      <c r="N1574"/>
      <c r="O1574"/>
      <c r="P1574"/>
      <c r="Q1574"/>
      <c r="R1574"/>
      <c r="S1574"/>
      <c r="T1574"/>
      <c r="U1574"/>
      <c r="V1574"/>
      <c r="W1574"/>
      <c r="X1574"/>
      <c r="Y1574"/>
      <c r="Z1574"/>
      <c r="AA1574"/>
      <c r="AB1574"/>
      <c r="AC1574"/>
      <c r="AD1574"/>
      <c r="AE1574"/>
      <c r="AF1574"/>
      <c r="AG1574"/>
      <c r="AH1574"/>
      <c r="AI1574"/>
      <c r="AJ1574"/>
      <c r="AK1574"/>
      <c r="AL1574"/>
      <c r="AM1574"/>
      <c r="AN1574"/>
      <c r="AO1574"/>
      <c r="AP1574"/>
      <c r="AQ1574"/>
      <c r="AR1574"/>
      <c r="AS1574"/>
      <c r="AT1574"/>
      <c r="AU1574"/>
      <c r="AV1574"/>
      <c r="AW1574"/>
      <c r="AX1574"/>
      <c r="AY1574"/>
      <c r="AZ1574"/>
      <c r="BA1574"/>
      <c r="BB1574"/>
      <c r="BC1574"/>
      <c r="BD1574"/>
      <c r="BE1574"/>
      <c r="BF1574"/>
      <c r="BG1574"/>
      <c r="BH1574"/>
    </row>
    <row r="1575" spans="1:60" s="1" customFormat="1" ht="15">
      <c r="A1575"/>
      <c r="B1575"/>
      <c r="C1575"/>
      <c r="D1575"/>
      <c r="E1575"/>
      <c r="F1575"/>
      <c r="G1575"/>
      <c r="H1575"/>
      <c r="I1575"/>
      <c r="J1575"/>
      <c r="K1575"/>
      <c r="L1575"/>
      <c r="M1575"/>
      <c r="N1575"/>
      <c r="O1575"/>
      <c r="P1575"/>
      <c r="Q1575"/>
      <c r="R1575"/>
      <c r="S1575"/>
      <c r="T1575"/>
      <c r="U1575"/>
      <c r="V1575"/>
      <c r="W1575"/>
      <c r="X1575"/>
      <c r="Y1575"/>
      <c r="Z1575"/>
      <c r="AA1575"/>
      <c r="AB1575"/>
      <c r="AC1575"/>
      <c r="AD1575"/>
      <c r="AE1575"/>
      <c r="AF1575"/>
      <c r="AG1575"/>
      <c r="AH1575"/>
      <c r="AI1575"/>
      <c r="AJ1575"/>
      <c r="AK1575"/>
      <c r="AL1575"/>
      <c r="AM1575"/>
      <c r="AN1575"/>
      <c r="AO1575"/>
      <c r="AP1575"/>
      <c r="AQ1575"/>
      <c r="AR1575"/>
      <c r="AS1575"/>
      <c r="AT1575"/>
      <c r="AU1575"/>
      <c r="AV1575"/>
      <c r="AW1575"/>
      <c r="AX1575"/>
      <c r="AY1575"/>
      <c r="AZ1575"/>
      <c r="BA1575"/>
      <c r="BB1575"/>
      <c r="BC1575"/>
      <c r="BD1575"/>
      <c r="BE1575"/>
      <c r="BF1575"/>
      <c r="BG1575"/>
      <c r="BH1575"/>
    </row>
    <row r="1576" spans="1:60" s="1" customFormat="1" ht="15">
      <c r="A1576"/>
      <c r="B1576"/>
      <c r="C1576"/>
      <c r="D1576"/>
      <c r="E1576"/>
      <c r="F1576"/>
      <c r="G1576"/>
      <c r="H1576"/>
      <c r="I1576"/>
      <c r="J1576"/>
      <c r="K1576"/>
      <c r="L1576"/>
      <c r="M1576"/>
      <c r="N1576"/>
      <c r="O1576"/>
      <c r="P1576"/>
      <c r="Q1576"/>
      <c r="R1576"/>
      <c r="S1576"/>
      <c r="T1576"/>
      <c r="U1576"/>
      <c r="V1576"/>
      <c r="W1576"/>
      <c r="X1576"/>
      <c r="Y1576"/>
      <c r="Z1576"/>
      <c r="AA1576"/>
      <c r="AB1576"/>
      <c r="AC1576"/>
      <c r="AD1576"/>
      <c r="AE1576"/>
      <c r="AF1576"/>
      <c r="AG1576"/>
      <c r="AH1576"/>
      <c r="AI1576"/>
      <c r="AJ1576"/>
      <c r="AK1576"/>
      <c r="AL1576"/>
      <c r="AM1576"/>
      <c r="AN1576"/>
      <c r="AO1576"/>
      <c r="AP1576"/>
      <c r="AQ1576"/>
      <c r="AR1576"/>
      <c r="AS1576"/>
      <c r="AT1576"/>
      <c r="AU1576"/>
      <c r="AV1576"/>
      <c r="AW1576"/>
      <c r="AX1576"/>
      <c r="AY1576"/>
      <c r="AZ1576"/>
      <c r="BA1576"/>
      <c r="BB1576"/>
      <c r="BC1576"/>
      <c r="BD1576"/>
      <c r="BE1576"/>
      <c r="BF1576"/>
      <c r="BG1576"/>
      <c r="BH1576"/>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dimension ref="A1:AB63"/>
  <sheetViews>
    <sheetView zoomScalePageLayoutView="0" workbookViewId="0" topLeftCell="A1">
      <selection activeCell="H2" sqref="H2:M9"/>
    </sheetView>
  </sheetViews>
  <sheetFormatPr defaultColWidth="9.140625" defaultRowHeight="15"/>
  <cols>
    <col min="1" max="1" width="19.8515625" style="0" customWidth="1"/>
    <col min="2" max="2" width="16.28125" style="0" customWidth="1"/>
    <col min="3" max="4" width="11.421875" style="0" customWidth="1"/>
    <col min="5" max="5" width="15.57421875" style="0" customWidth="1"/>
    <col min="6" max="6" width="17.57421875" style="0" customWidth="1"/>
    <col min="7" max="7" width="17.140625" style="0" customWidth="1"/>
    <col min="8" max="8" width="14.00390625" style="0" customWidth="1"/>
    <col min="9" max="9" width="13.7109375" style="0" customWidth="1"/>
    <col min="10" max="10" width="16.140625" style="0" customWidth="1"/>
    <col min="11" max="11" width="12.57421875" style="0" customWidth="1"/>
    <col min="12" max="12" width="11.421875" style="0" customWidth="1"/>
    <col min="13" max="13" width="12.57421875" style="0" customWidth="1"/>
    <col min="14" max="14" width="19.140625" style="0" customWidth="1"/>
    <col min="15" max="15" width="18.140625" style="0" customWidth="1"/>
    <col min="16" max="16" width="19.00390625" style="0" customWidth="1"/>
    <col min="17" max="17" width="17.7109375" style="0" customWidth="1"/>
    <col min="18" max="18" width="18.57421875" style="0" customWidth="1"/>
    <col min="19" max="19" width="18.7109375" style="0" customWidth="1"/>
    <col min="20" max="20" width="11.28125" style="0" customWidth="1"/>
    <col min="21" max="21" width="11.8515625" style="0" customWidth="1"/>
    <col min="22" max="22" width="10.421875" style="0" customWidth="1"/>
    <col min="23" max="23" width="14.00390625" style="0" customWidth="1"/>
    <col min="25" max="25" width="10.28125" style="0" customWidth="1"/>
    <col min="26" max="26" width="12.00390625" style="0" customWidth="1"/>
    <col min="27" max="27" width="12.7109375" style="0" customWidth="1"/>
  </cols>
  <sheetData>
    <row r="1" spans="1:10" ht="15">
      <c r="A1" s="7"/>
      <c r="B1" s="7"/>
      <c r="C1" s="7"/>
      <c r="D1" s="7"/>
      <c r="E1" s="7"/>
      <c r="F1" s="7"/>
      <c r="G1" s="7"/>
      <c r="H1" s="7"/>
      <c r="I1" s="7"/>
      <c r="J1" s="7"/>
    </row>
    <row r="2" spans="1:28" ht="30" customHeight="1">
      <c r="A2" s="3"/>
      <c r="B2" s="73" t="s">
        <v>198</v>
      </c>
      <c r="C2" s="73" t="s">
        <v>110</v>
      </c>
      <c r="D2" s="73" t="s">
        <v>110</v>
      </c>
      <c r="E2" s="73" t="s">
        <v>111</v>
      </c>
      <c r="F2" s="73" t="s">
        <v>111</v>
      </c>
      <c r="H2" s="74" t="s">
        <v>203</v>
      </c>
      <c r="I2" s="74" t="s">
        <v>203</v>
      </c>
      <c r="L2" s="7"/>
      <c r="N2" s="7"/>
      <c r="O2" s="7"/>
      <c r="P2" s="7"/>
      <c r="Q2" s="7"/>
      <c r="R2" s="3"/>
      <c r="S2" s="3"/>
      <c r="T2" s="7"/>
      <c r="U2" s="7"/>
      <c r="V2" s="7"/>
      <c r="W2" s="7"/>
      <c r="X2" s="7"/>
      <c r="Y2" s="110"/>
      <c r="Z2" s="110"/>
      <c r="AA2" s="110"/>
      <c r="AB2" s="7"/>
    </row>
    <row r="3" spans="1:28" ht="51.75" customHeight="1">
      <c r="A3" s="3"/>
      <c r="B3" s="4" t="s">
        <v>197</v>
      </c>
      <c r="C3" s="4" t="s">
        <v>112</v>
      </c>
      <c r="D3" s="4" t="s">
        <v>205</v>
      </c>
      <c r="E3" s="71" t="s">
        <v>199</v>
      </c>
      <c r="F3" s="4" t="s">
        <v>200</v>
      </c>
      <c r="G3" s="4" t="s">
        <v>311</v>
      </c>
      <c r="H3" s="4" t="s">
        <v>112</v>
      </c>
      <c r="I3" s="4" t="s">
        <v>205</v>
      </c>
      <c r="J3" s="4" t="s">
        <v>312</v>
      </c>
      <c r="K3" s="4" t="s">
        <v>211</v>
      </c>
      <c r="L3" s="4" t="s">
        <v>212</v>
      </c>
      <c r="M3" s="4" t="s">
        <v>204</v>
      </c>
      <c r="N3" s="3"/>
      <c r="O3" s="3"/>
      <c r="P3" s="3"/>
      <c r="Q3" s="3"/>
      <c r="R3" s="3"/>
      <c r="S3" s="3"/>
      <c r="T3" s="3"/>
      <c r="U3" s="3"/>
      <c r="V3" s="3"/>
      <c r="W3" s="3"/>
      <c r="X3" s="7"/>
      <c r="Y3" s="3"/>
      <c r="Z3" s="3"/>
      <c r="AA3" s="3"/>
      <c r="AB3" s="7"/>
    </row>
    <row r="4" spans="1:28" ht="15">
      <c r="A4" s="7"/>
      <c r="B4" s="2">
        <v>1396</v>
      </c>
      <c r="C4" s="2">
        <v>0</v>
      </c>
      <c r="D4" s="2">
        <v>0</v>
      </c>
      <c r="E4" s="69">
        <v>2000</v>
      </c>
      <c r="F4" s="68">
        <v>0</v>
      </c>
      <c r="G4">
        <f>IF(B4&lt;0,interpfn(C4:C9,C4:D9,ABS(B4),2),-interpfn(C4:C9,C4:D9,ABS(B4),2))</f>
        <v>-4.598359283442156</v>
      </c>
      <c r="H4" s="70">
        <v>1270.6</v>
      </c>
      <c r="I4" s="70">
        <v>0</v>
      </c>
      <c r="J4">
        <f>IF(INDEX(H4:I9,MATCH(0,I4:I9,0),1)&lt;=E4,interpfn(H4:H9,H4:I9,E4,2),-interpfn(H4:H9,H4:I9,E4,2))</f>
        <v>2.1390909090909096</v>
      </c>
      <c r="K4">
        <f>SQRT(J4^2+G4^2)</f>
        <v>5.071549863402118</v>
      </c>
      <c r="L4">
        <f>90-K4</f>
        <v>84.92845013659789</v>
      </c>
      <c r="M4">
        <f>inputsheet!B73+ATAN2(J4,G4)*180/PI()</f>
        <v>-65.05282547533623</v>
      </c>
      <c r="N4" s="7"/>
      <c r="O4" s="7"/>
      <c r="P4" s="7"/>
      <c r="Q4" s="7"/>
      <c r="R4" s="7"/>
      <c r="S4" s="7"/>
      <c r="T4" s="7"/>
      <c r="U4" s="7"/>
      <c r="V4" s="7"/>
      <c r="W4" s="7"/>
      <c r="X4" s="7"/>
      <c r="Y4" s="7"/>
      <c r="Z4" s="7"/>
      <c r="AA4" s="7"/>
      <c r="AB4" s="7"/>
    </row>
    <row r="5" spans="3:28" ht="15">
      <c r="C5" s="2">
        <v>611.4</v>
      </c>
      <c r="D5" s="2">
        <v>2</v>
      </c>
      <c r="H5" s="2">
        <v>1954.1</v>
      </c>
      <c r="I5" s="2">
        <v>2</v>
      </c>
      <c r="L5" s="7"/>
      <c r="N5" s="7"/>
      <c r="O5" s="7"/>
      <c r="P5" s="7"/>
      <c r="Q5" s="7"/>
      <c r="R5" s="7"/>
      <c r="S5" s="7"/>
      <c r="T5" s="7"/>
      <c r="U5" s="7"/>
      <c r="V5" s="7"/>
      <c r="W5" s="7"/>
      <c r="X5" s="7"/>
      <c r="Y5" s="7"/>
      <c r="Z5" s="7"/>
      <c r="AA5" s="7"/>
      <c r="AB5" s="7"/>
    </row>
    <row r="6" spans="3:28" ht="15">
      <c r="C6" s="2">
        <v>1217.3</v>
      </c>
      <c r="D6" s="2">
        <v>4</v>
      </c>
      <c r="H6" s="2">
        <v>2284.1</v>
      </c>
      <c r="I6" s="2">
        <v>3</v>
      </c>
      <c r="L6" s="7"/>
      <c r="N6" s="7"/>
      <c r="O6" s="7"/>
      <c r="P6" s="7"/>
      <c r="Q6" s="7"/>
      <c r="R6" s="7"/>
      <c r="S6" s="7"/>
      <c r="T6" s="7"/>
      <c r="U6" s="7"/>
      <c r="V6" s="7"/>
      <c r="W6" s="7"/>
      <c r="X6" s="7"/>
      <c r="Y6" s="7"/>
      <c r="Z6" s="7"/>
      <c r="AA6" s="7"/>
      <c r="AB6" s="7"/>
    </row>
    <row r="7" spans="3:28" ht="15">
      <c r="C7" s="2">
        <v>1814.6</v>
      </c>
      <c r="D7" s="2">
        <v>6</v>
      </c>
      <c r="H7" s="2">
        <v>3508.3</v>
      </c>
      <c r="I7" s="2">
        <v>7</v>
      </c>
      <c r="L7" s="7"/>
      <c r="N7" s="7"/>
      <c r="O7" s="7"/>
      <c r="P7" s="7"/>
      <c r="Q7" s="7"/>
      <c r="R7" s="7"/>
      <c r="S7" s="7"/>
      <c r="T7" s="7"/>
      <c r="U7" s="7"/>
      <c r="V7" s="7"/>
      <c r="W7" s="7"/>
      <c r="X7" s="7"/>
      <c r="Y7" s="7"/>
      <c r="Z7" s="7"/>
      <c r="AA7" s="7"/>
      <c r="AB7" s="7"/>
    </row>
    <row r="8" spans="3:28" ht="15">
      <c r="C8" s="2">
        <v>2401.1</v>
      </c>
      <c r="D8" s="2">
        <v>8</v>
      </c>
      <c r="H8" s="2"/>
      <c r="I8" s="2"/>
      <c r="L8" s="7"/>
      <c r="N8" s="7"/>
      <c r="O8" s="7"/>
      <c r="P8" s="7"/>
      <c r="Q8" s="7"/>
      <c r="R8" s="7"/>
      <c r="S8" s="7"/>
      <c r="T8" s="7"/>
      <c r="U8" s="7"/>
      <c r="V8" s="7"/>
      <c r="W8" s="7"/>
      <c r="X8" s="7"/>
      <c r="Y8" s="7"/>
      <c r="Z8" s="7"/>
      <c r="AA8" s="7"/>
      <c r="AB8" s="7"/>
    </row>
    <row r="9" spans="3:28" ht="15">
      <c r="C9" s="2"/>
      <c r="D9" s="2"/>
      <c r="H9" s="2"/>
      <c r="I9" s="2"/>
      <c r="L9" s="7"/>
      <c r="N9" s="7"/>
      <c r="O9" s="7"/>
      <c r="P9" s="7"/>
      <c r="Q9" s="7"/>
      <c r="R9" s="7"/>
      <c r="S9" s="7"/>
      <c r="T9" s="7"/>
      <c r="U9" s="7"/>
      <c r="V9" s="7"/>
      <c r="W9" s="7"/>
      <c r="X9" s="7"/>
      <c r="Y9" s="7"/>
      <c r="Z9" s="7"/>
      <c r="AA9" s="7"/>
      <c r="AB9" s="7"/>
    </row>
    <row r="10" spans="13:28" ht="15">
      <c r="M10" s="7"/>
      <c r="N10" s="7"/>
      <c r="O10" s="7"/>
      <c r="P10" s="7"/>
      <c r="Q10" s="7"/>
      <c r="R10" s="7"/>
      <c r="S10" s="7"/>
      <c r="T10" s="7"/>
      <c r="U10" s="7"/>
      <c r="V10" s="7"/>
      <c r="W10" s="7"/>
      <c r="X10" s="7"/>
      <c r="Y10" s="7"/>
      <c r="Z10" s="7"/>
      <c r="AA10" s="7"/>
      <c r="AB10" s="7"/>
    </row>
    <row r="11" spans="13:28" ht="15">
      <c r="M11" s="7"/>
      <c r="N11" s="7"/>
      <c r="O11" s="7"/>
      <c r="P11" s="7"/>
      <c r="Q11" s="7"/>
      <c r="R11" s="7"/>
      <c r="S11" s="7"/>
      <c r="T11" s="7"/>
      <c r="U11" s="7"/>
      <c r="V11" s="7"/>
      <c r="W11" s="7"/>
      <c r="X11" s="7"/>
      <c r="Y11" s="7"/>
      <c r="Z11" s="7"/>
      <c r="AA11" s="7"/>
      <c r="AB11" s="7"/>
    </row>
    <row r="12" spans="13:28" ht="15">
      <c r="M12" s="7"/>
      <c r="N12" s="7"/>
      <c r="O12" s="7"/>
      <c r="P12" s="7"/>
      <c r="Q12" s="7"/>
      <c r="R12" s="7"/>
      <c r="S12" s="7"/>
      <c r="T12" s="7"/>
      <c r="U12" s="7"/>
      <c r="V12" s="7"/>
      <c r="W12" s="7"/>
      <c r="X12" s="7"/>
      <c r="Y12" s="7"/>
      <c r="Z12" s="7"/>
      <c r="AA12" s="7"/>
      <c r="AB12" s="7"/>
    </row>
    <row r="13" spans="13:28" ht="15">
      <c r="M13" s="7"/>
      <c r="N13" s="7"/>
      <c r="O13" s="7"/>
      <c r="P13" s="7"/>
      <c r="Q13" s="7"/>
      <c r="R13" s="7"/>
      <c r="S13" s="7"/>
      <c r="T13" s="7"/>
      <c r="U13" s="7"/>
      <c r="V13" s="7"/>
      <c r="W13" s="7"/>
      <c r="X13" s="7"/>
      <c r="Y13" s="7"/>
      <c r="Z13" s="7"/>
      <c r="AA13" s="7"/>
      <c r="AB13" s="7"/>
    </row>
    <row r="14" spans="13:28" ht="15">
      <c r="M14" s="7"/>
      <c r="N14" s="7"/>
      <c r="O14" s="7"/>
      <c r="P14" s="7"/>
      <c r="Q14" s="7"/>
      <c r="R14" s="7"/>
      <c r="S14" s="7"/>
      <c r="T14" s="7"/>
      <c r="U14" s="7"/>
      <c r="V14" s="7"/>
      <c r="W14" s="7"/>
      <c r="X14" s="7"/>
      <c r="Y14" s="7"/>
      <c r="Z14" s="7"/>
      <c r="AA14" s="7"/>
      <c r="AB14" s="7"/>
    </row>
    <row r="15" spans="13:28" ht="15">
      <c r="M15" s="7"/>
      <c r="N15" s="7"/>
      <c r="O15" s="7"/>
      <c r="P15" s="7"/>
      <c r="Q15" s="7"/>
      <c r="R15" s="7"/>
      <c r="S15" s="7"/>
      <c r="T15" s="7"/>
      <c r="U15" s="7"/>
      <c r="V15" s="7"/>
      <c r="W15" s="7"/>
      <c r="X15" s="7"/>
      <c r="Y15" s="7"/>
      <c r="Z15" s="7"/>
      <c r="AA15" s="7"/>
      <c r="AB15" s="7"/>
    </row>
    <row r="16" spans="13:28" ht="15">
      <c r="M16" s="7"/>
      <c r="N16" s="7"/>
      <c r="O16" s="7"/>
      <c r="P16" s="7"/>
      <c r="Q16" s="7"/>
      <c r="R16" s="7"/>
      <c r="S16" s="7"/>
      <c r="T16" s="7"/>
      <c r="U16" s="7"/>
      <c r="V16" s="7"/>
      <c r="W16" s="7"/>
      <c r="X16" s="7"/>
      <c r="Y16" s="7"/>
      <c r="Z16" s="7"/>
      <c r="AA16" s="7"/>
      <c r="AB16" s="7"/>
    </row>
    <row r="17" spans="13:28" ht="15">
      <c r="M17" s="7"/>
      <c r="N17" s="7"/>
      <c r="O17" s="7"/>
      <c r="P17" s="7"/>
      <c r="Q17" s="7"/>
      <c r="R17" s="7"/>
      <c r="S17" s="7"/>
      <c r="T17" s="7"/>
      <c r="U17" s="7"/>
      <c r="V17" s="7"/>
      <c r="W17" s="7"/>
      <c r="X17" s="7"/>
      <c r="Y17" s="7"/>
      <c r="Z17" s="7"/>
      <c r="AA17" s="7"/>
      <c r="AB17" s="7"/>
    </row>
    <row r="18" spans="13:28" ht="15">
      <c r="M18" s="7"/>
      <c r="N18" s="7"/>
      <c r="O18" s="7"/>
      <c r="P18" s="7"/>
      <c r="Q18" s="7"/>
      <c r="R18" s="7"/>
      <c r="S18" s="7"/>
      <c r="T18" s="7"/>
      <c r="U18" s="7"/>
      <c r="V18" s="7"/>
      <c r="W18" s="7"/>
      <c r="X18" s="7"/>
      <c r="Y18" s="7"/>
      <c r="Z18" s="7"/>
      <c r="AA18" s="7"/>
      <c r="AB18" s="7"/>
    </row>
    <row r="19" spans="13:28" ht="15">
      <c r="M19" s="7"/>
      <c r="N19" s="7"/>
      <c r="O19" s="7"/>
      <c r="P19" s="7"/>
      <c r="Q19" s="7"/>
      <c r="R19" s="7"/>
      <c r="S19" s="7"/>
      <c r="T19" s="7"/>
      <c r="U19" s="7"/>
      <c r="V19" s="7"/>
      <c r="W19" s="7"/>
      <c r="X19" s="7"/>
      <c r="Y19" s="7"/>
      <c r="Z19" s="7"/>
      <c r="AA19" s="7"/>
      <c r="AB19" s="7"/>
    </row>
    <row r="20" spans="13:28" ht="15">
      <c r="M20" s="7"/>
      <c r="N20" s="7"/>
      <c r="O20" s="7"/>
      <c r="P20" s="7"/>
      <c r="Q20" s="7"/>
      <c r="R20" s="7"/>
      <c r="S20" s="7"/>
      <c r="T20" s="7"/>
      <c r="U20" s="7"/>
      <c r="V20" s="7"/>
      <c r="W20" s="7"/>
      <c r="X20" s="7"/>
      <c r="Y20" s="7"/>
      <c r="Z20" s="7"/>
      <c r="AA20" s="7"/>
      <c r="AB20" s="7"/>
    </row>
    <row r="21" spans="13:28" ht="15">
      <c r="M21" s="7"/>
      <c r="N21" s="7"/>
      <c r="O21" s="7"/>
      <c r="P21" s="7"/>
      <c r="Q21" s="7"/>
      <c r="R21" s="7"/>
      <c r="S21" s="7"/>
      <c r="T21" s="7"/>
      <c r="U21" s="7"/>
      <c r="V21" s="7"/>
      <c r="W21" s="7"/>
      <c r="X21" s="7"/>
      <c r="Y21" s="7"/>
      <c r="Z21" s="7"/>
      <c r="AA21" s="7"/>
      <c r="AB21" s="7"/>
    </row>
    <row r="22" spans="13:28" ht="15">
      <c r="M22" s="7"/>
      <c r="N22" s="7"/>
      <c r="O22" s="7"/>
      <c r="P22" s="7"/>
      <c r="Q22" s="7"/>
      <c r="R22" s="7"/>
      <c r="S22" s="7"/>
      <c r="T22" s="7"/>
      <c r="U22" s="7"/>
      <c r="V22" s="7"/>
      <c r="W22" s="7"/>
      <c r="X22" s="7"/>
      <c r="Y22" s="7"/>
      <c r="Z22" s="7"/>
      <c r="AA22" s="7"/>
      <c r="AB22" s="7"/>
    </row>
    <row r="23" spans="13:28" ht="15">
      <c r="M23" s="7"/>
      <c r="N23" s="7"/>
      <c r="O23" s="7"/>
      <c r="P23" s="7"/>
      <c r="Q23" s="7"/>
      <c r="R23" s="7"/>
      <c r="S23" s="7"/>
      <c r="T23" s="7"/>
      <c r="U23" s="7"/>
      <c r="V23" s="7"/>
      <c r="W23" s="7"/>
      <c r="X23" s="7"/>
      <c r="Y23" s="7"/>
      <c r="Z23" s="7"/>
      <c r="AA23" s="7"/>
      <c r="AB23" s="7"/>
    </row>
    <row r="24" spans="13:28" ht="15">
      <c r="M24" s="7"/>
      <c r="N24" s="7"/>
      <c r="O24" s="7"/>
      <c r="P24" s="7"/>
      <c r="Q24" s="7"/>
      <c r="R24" s="7"/>
      <c r="S24" s="7"/>
      <c r="T24" s="7"/>
      <c r="U24" s="7"/>
      <c r="V24" s="7"/>
      <c r="W24" s="7"/>
      <c r="X24" s="7"/>
      <c r="Y24" s="7"/>
      <c r="Z24" s="7"/>
      <c r="AA24" s="7"/>
      <c r="AB24" s="7"/>
    </row>
    <row r="25" spans="13:28" ht="15">
      <c r="M25" s="7"/>
      <c r="N25" s="7"/>
      <c r="O25" s="7"/>
      <c r="P25" s="7"/>
      <c r="Q25" s="7"/>
      <c r="R25" s="7"/>
      <c r="S25" s="7"/>
      <c r="T25" s="7"/>
      <c r="U25" s="7"/>
      <c r="V25" s="7"/>
      <c r="W25" s="7"/>
      <c r="X25" s="7"/>
      <c r="Y25" s="7"/>
      <c r="Z25" s="7"/>
      <c r="AA25" s="7"/>
      <c r="AB25" s="7"/>
    </row>
    <row r="26" spans="13:28" ht="15">
      <c r="M26" s="7"/>
      <c r="N26" s="7"/>
      <c r="O26" s="7"/>
      <c r="P26" s="7"/>
      <c r="Q26" s="7"/>
      <c r="R26" s="7"/>
      <c r="S26" s="7"/>
      <c r="T26" s="7"/>
      <c r="U26" s="7"/>
      <c r="V26" s="7"/>
      <c r="W26" s="7"/>
      <c r="X26" s="7"/>
      <c r="Y26" s="7"/>
      <c r="Z26" s="7"/>
      <c r="AA26" s="7"/>
      <c r="AB26" s="7"/>
    </row>
    <row r="27" spans="13:28" ht="15">
      <c r="M27" s="7"/>
      <c r="N27" s="7"/>
      <c r="O27" s="7"/>
      <c r="P27" s="7"/>
      <c r="Q27" s="7"/>
      <c r="R27" s="7"/>
      <c r="S27" s="7"/>
      <c r="T27" s="7"/>
      <c r="U27" s="7"/>
      <c r="V27" s="7"/>
      <c r="W27" s="7"/>
      <c r="X27" s="7"/>
      <c r="Y27" s="7"/>
      <c r="Z27" s="7"/>
      <c r="AA27" s="7"/>
      <c r="AB27" s="7"/>
    </row>
    <row r="28" spans="13:28" ht="15">
      <c r="M28" s="7"/>
      <c r="N28" s="7"/>
      <c r="O28" s="7"/>
      <c r="P28" s="7"/>
      <c r="Q28" s="7"/>
      <c r="R28" s="7"/>
      <c r="S28" s="7"/>
      <c r="T28" s="7"/>
      <c r="U28" s="7"/>
      <c r="V28" s="7"/>
      <c r="W28" s="7"/>
      <c r="X28" s="7"/>
      <c r="Y28" s="7"/>
      <c r="Z28" s="7"/>
      <c r="AA28" s="7"/>
      <c r="AB28" s="7"/>
    </row>
    <row r="29" spans="13:28" ht="15">
      <c r="M29" s="7"/>
      <c r="N29" s="7"/>
      <c r="O29" s="7"/>
      <c r="P29" s="7"/>
      <c r="Q29" s="7"/>
      <c r="R29" s="7"/>
      <c r="S29" s="7"/>
      <c r="T29" s="7"/>
      <c r="U29" s="7"/>
      <c r="V29" s="7"/>
      <c r="W29" s="7"/>
      <c r="X29" s="7"/>
      <c r="Y29" s="7"/>
      <c r="Z29" s="7"/>
      <c r="AA29" s="7"/>
      <c r="AB29" s="7"/>
    </row>
    <row r="30" spans="13:28" ht="15">
      <c r="M30" s="7"/>
      <c r="N30" s="7"/>
      <c r="O30" s="7"/>
      <c r="P30" s="7"/>
      <c r="Q30" s="7"/>
      <c r="R30" s="7"/>
      <c r="S30" s="7"/>
      <c r="T30" s="7"/>
      <c r="U30" s="7"/>
      <c r="V30" s="7"/>
      <c r="W30" s="7"/>
      <c r="X30" s="7"/>
      <c r="Y30" s="7"/>
      <c r="Z30" s="7"/>
      <c r="AA30" s="7"/>
      <c r="AB30" s="7"/>
    </row>
    <row r="31" spans="13:28" ht="15">
      <c r="M31" s="7"/>
      <c r="N31" s="7"/>
      <c r="O31" s="7"/>
      <c r="P31" s="7"/>
      <c r="Q31" s="7"/>
      <c r="R31" s="7"/>
      <c r="S31" s="7"/>
      <c r="T31" s="7"/>
      <c r="U31" s="7"/>
      <c r="V31" s="7"/>
      <c r="W31" s="7"/>
      <c r="X31" s="7"/>
      <c r="Y31" s="7"/>
      <c r="Z31" s="7"/>
      <c r="AA31" s="7"/>
      <c r="AB31" s="7"/>
    </row>
    <row r="32" spans="13:28" ht="15">
      <c r="M32" s="7"/>
      <c r="N32" s="7"/>
      <c r="O32" s="7"/>
      <c r="P32" s="7"/>
      <c r="Q32" s="7"/>
      <c r="R32" s="7"/>
      <c r="S32" s="7"/>
      <c r="T32" s="7"/>
      <c r="U32" s="7"/>
      <c r="V32" s="7"/>
      <c r="W32" s="7"/>
      <c r="X32" s="7"/>
      <c r="Y32" s="7"/>
      <c r="Z32" s="7"/>
      <c r="AA32" s="7"/>
      <c r="AB32" s="7"/>
    </row>
    <row r="33" spans="13:28" ht="15">
      <c r="M33" s="7"/>
      <c r="N33" s="7"/>
      <c r="O33" s="7"/>
      <c r="P33" s="7"/>
      <c r="Q33" s="7"/>
      <c r="R33" s="7"/>
      <c r="S33" s="7"/>
      <c r="T33" s="7"/>
      <c r="U33" s="7"/>
      <c r="V33" s="7"/>
      <c r="W33" s="7"/>
      <c r="X33" s="7"/>
      <c r="Y33" s="7"/>
      <c r="Z33" s="7"/>
      <c r="AA33" s="7"/>
      <c r="AB33" s="7"/>
    </row>
    <row r="34" spans="13:28" ht="15">
      <c r="M34" s="7"/>
      <c r="N34" s="7"/>
      <c r="O34" s="7"/>
      <c r="P34" s="7"/>
      <c r="Q34" s="7"/>
      <c r="R34" s="7"/>
      <c r="S34" s="7"/>
      <c r="T34" s="7"/>
      <c r="U34" s="7"/>
      <c r="V34" s="7"/>
      <c r="W34" s="7"/>
      <c r="X34" s="7"/>
      <c r="Y34" s="7"/>
      <c r="Z34" s="7"/>
      <c r="AA34" s="7"/>
      <c r="AB34" s="7"/>
    </row>
    <row r="35" spans="13:28" ht="15">
      <c r="M35" s="7"/>
      <c r="N35" s="7"/>
      <c r="O35" s="7"/>
      <c r="P35" s="7"/>
      <c r="Q35" s="7"/>
      <c r="R35" s="7"/>
      <c r="S35" s="7"/>
      <c r="T35" s="7"/>
      <c r="U35" s="7"/>
      <c r="V35" s="7"/>
      <c r="W35" s="7"/>
      <c r="X35" s="7"/>
      <c r="Y35" s="7"/>
      <c r="Z35" s="7"/>
      <c r="AA35" s="7"/>
      <c r="AB35" s="7"/>
    </row>
    <row r="36" spans="4:28" ht="15">
      <c r="D36" s="7"/>
      <c r="M36" s="7"/>
      <c r="N36" s="7"/>
      <c r="O36" s="7"/>
      <c r="P36" s="7"/>
      <c r="Q36" s="7"/>
      <c r="R36" s="7"/>
      <c r="S36" s="7"/>
      <c r="T36" s="7"/>
      <c r="U36" s="7"/>
      <c r="V36" s="7"/>
      <c r="W36" s="7"/>
      <c r="X36" s="7"/>
      <c r="Y36" s="7"/>
      <c r="Z36" s="7"/>
      <c r="AA36" s="7"/>
      <c r="AB36" s="7"/>
    </row>
    <row r="37" spans="4:28" ht="15">
      <c r="D37" s="7"/>
      <c r="M37" s="7"/>
      <c r="N37" s="7"/>
      <c r="O37" s="7"/>
      <c r="P37" s="7"/>
      <c r="Q37" s="7"/>
      <c r="R37" s="7"/>
      <c r="S37" s="7"/>
      <c r="T37" s="7"/>
      <c r="U37" s="7"/>
      <c r="V37" s="7"/>
      <c r="W37" s="7"/>
      <c r="X37" s="7"/>
      <c r="Y37" s="7"/>
      <c r="Z37" s="7"/>
      <c r="AA37" s="7"/>
      <c r="AB37" s="7"/>
    </row>
    <row r="38" ht="15">
      <c r="D38" s="7"/>
    </row>
    <row r="39" spans="3:5" ht="15">
      <c r="C39" s="7"/>
      <c r="D39" s="7"/>
      <c r="E39" s="7"/>
    </row>
    <row r="40" spans="3:5" ht="15">
      <c r="C40" s="7"/>
      <c r="D40" s="7"/>
      <c r="E40" s="7"/>
    </row>
    <row r="41" spans="3:5" ht="15">
      <c r="C41" s="7"/>
      <c r="D41" s="7"/>
      <c r="E41" s="7"/>
    </row>
    <row r="42" spans="3:5" ht="15">
      <c r="C42" s="7"/>
      <c r="D42" s="7"/>
      <c r="E42" s="7"/>
    </row>
    <row r="43" spans="3:5" ht="15">
      <c r="C43" s="7"/>
      <c r="D43" s="7"/>
      <c r="E43" s="7"/>
    </row>
    <row r="44" spans="3:5" ht="15">
      <c r="C44" s="7"/>
      <c r="D44" s="7"/>
      <c r="E44" s="7"/>
    </row>
    <row r="45" spans="3:5" ht="15">
      <c r="C45" s="7"/>
      <c r="D45" s="7"/>
      <c r="E45" s="7"/>
    </row>
    <row r="46" spans="3:5" ht="15">
      <c r="C46" s="7"/>
      <c r="D46" s="7"/>
      <c r="E46" s="7"/>
    </row>
    <row r="47" spans="3:5" ht="15">
      <c r="C47" s="7"/>
      <c r="D47" s="7"/>
      <c r="E47" s="7"/>
    </row>
    <row r="48" spans="3:5" ht="15">
      <c r="C48" s="7"/>
      <c r="D48" s="7"/>
      <c r="E48" s="7"/>
    </row>
    <row r="49" spans="3:5" ht="15">
      <c r="C49" s="7"/>
      <c r="D49" s="7"/>
      <c r="E49" s="7"/>
    </row>
    <row r="50" spans="3:5" ht="15">
      <c r="C50" s="7"/>
      <c r="D50" s="7"/>
      <c r="E50" s="7"/>
    </row>
    <row r="51" spans="3:5" ht="15">
      <c r="C51" s="7"/>
      <c r="D51" s="7"/>
      <c r="E51" s="7"/>
    </row>
    <row r="52" spans="3:5" ht="15">
      <c r="C52" s="7"/>
      <c r="D52" s="7"/>
      <c r="E52" s="7"/>
    </row>
    <row r="53" spans="3:5" ht="15">
      <c r="C53" s="7"/>
      <c r="D53" s="7"/>
      <c r="E53" s="7"/>
    </row>
    <row r="54" spans="3:5" ht="15">
      <c r="C54" s="7"/>
      <c r="D54" s="7"/>
      <c r="E54" s="7"/>
    </row>
    <row r="55" spans="3:5" ht="15">
      <c r="C55" s="7"/>
      <c r="D55" s="7"/>
      <c r="E55" s="7"/>
    </row>
    <row r="56" spans="3:5" ht="15">
      <c r="C56" s="7"/>
      <c r="D56" s="7"/>
      <c r="E56" s="7"/>
    </row>
    <row r="57" spans="3:5" ht="15">
      <c r="C57" s="7"/>
      <c r="D57" s="7"/>
      <c r="E57" s="7"/>
    </row>
    <row r="58" spans="3:5" ht="15">
      <c r="C58" s="7"/>
      <c r="D58" s="7"/>
      <c r="E58" s="7"/>
    </row>
    <row r="59" spans="3:5" ht="15">
      <c r="C59" s="7"/>
      <c r="D59" s="7"/>
      <c r="E59" s="7"/>
    </row>
    <row r="60" spans="3:5" ht="15">
      <c r="C60" s="7"/>
      <c r="D60" s="7"/>
      <c r="E60" s="7"/>
    </row>
    <row r="61" spans="3:5" ht="15">
      <c r="C61" s="7"/>
      <c r="D61" s="7"/>
      <c r="E61" s="7"/>
    </row>
    <row r="62" spans="3:5" ht="15">
      <c r="C62" s="7"/>
      <c r="D62" s="7"/>
      <c r="E62" s="7"/>
    </row>
    <row r="63" spans="3:5" ht="15">
      <c r="C63" s="7"/>
      <c r="D63" s="7"/>
      <c r="E63" s="7"/>
    </row>
  </sheetData>
  <sheetProtection/>
  <mergeCells count="1">
    <mergeCell ref="Y2:AA2"/>
  </mergeCell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B25" sqref="B2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Armando Fuentes;Hien Tran;Michael Tong;Charley Hoult</dc:creator>
  <cp:keywords/>
  <dc:description/>
  <cp:lastModifiedBy>AirBlaze_W</cp:lastModifiedBy>
  <dcterms:created xsi:type="dcterms:W3CDTF">2010-01-20T02:17:52Z</dcterms:created>
  <dcterms:modified xsi:type="dcterms:W3CDTF">2014-02-25T22:14:15Z</dcterms:modified>
  <cp:category/>
  <cp:version/>
  <cp:contentType/>
  <cp:contentStatus/>
</cp:coreProperties>
</file>